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horeline and Waterway Management Section\Field Operations &amp; Construction\Waterway\Dredging\IRI_Shoals\2023\00_Management\05_Permits\Sediment Sampling\IRI Flood Shoal\FINAL REPORT\"/>
    </mc:Choice>
  </mc:AlternateContent>
  <xr:revisionPtr revIDLastSave="0" documentId="13_ncr:1_{8372E080-5ED0-4F7E-8BA8-C027C986E82A}" xr6:coauthVersionLast="47" xr6:coauthVersionMax="47" xr10:uidLastSave="{00000000-0000-0000-0000-000000000000}"/>
  <bookViews>
    <workbookView xWindow="-120" yWindow="-120" windowWidth="29040" windowHeight="15840" tabRatio="866" xr2:uid="{84D8F346-0C7F-463F-A8B6-7B17F447EB86}"/>
  </bookViews>
  <sheets>
    <sheet name="Data Summary" sheetId="1" r:id="rId1"/>
    <sheet name="TUa &amp;IWBU Results " sheetId="2" r:id="rId2"/>
    <sheet name="Sb Calcs" sheetId="16" r:id="rId3"/>
    <sheet name="As Calcs " sheetId="4" r:id="rId4"/>
    <sheet name="Ba Calcs" sheetId="5" r:id="rId5"/>
    <sheet name="Be Calcs" sheetId="6" r:id="rId6"/>
    <sheet name="Cd Calcs" sheetId="7" r:id="rId7"/>
    <sheet name="Cr Calcs" sheetId="8" r:id="rId8"/>
    <sheet name="Cu Calcs" sheetId="9" r:id="rId9"/>
    <sheet name="Pb Calcs " sheetId="10" r:id="rId10"/>
    <sheet name="Ni Calcs" sheetId="11" r:id="rId11"/>
    <sheet name="Se Calcs" sheetId="12" r:id="rId12"/>
    <sheet name="Ag Calcs" sheetId="13" r:id="rId13"/>
    <sheet name="Tl Calcs" sheetId="14" r:id="rId14"/>
    <sheet name="Zn Calcs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" l="1"/>
  <c r="B8" i="16"/>
  <c r="B9" i="16"/>
  <c r="L13" i="2" l="1"/>
  <c r="M13" i="2"/>
  <c r="N13" i="2"/>
  <c r="O13" i="2"/>
  <c r="P13" i="2"/>
  <c r="L14" i="2"/>
  <c r="M14" i="2"/>
  <c r="N14" i="2"/>
  <c r="O14" i="2"/>
  <c r="P14" i="2"/>
  <c r="L15" i="2"/>
  <c r="M15" i="2"/>
  <c r="N15" i="2"/>
  <c r="O15" i="2"/>
  <c r="P15" i="2"/>
  <c r="L16" i="2"/>
  <c r="M16" i="2"/>
  <c r="N16" i="2"/>
  <c r="O16" i="2"/>
  <c r="P16" i="2"/>
  <c r="L17" i="2"/>
  <c r="M17" i="2"/>
  <c r="N17" i="2"/>
  <c r="O17" i="2"/>
  <c r="P17" i="2"/>
  <c r="K14" i="2"/>
  <c r="K15" i="2"/>
  <c r="K16" i="2"/>
  <c r="K17" i="2"/>
  <c r="H14" i="2"/>
  <c r="H15" i="2"/>
  <c r="H16" i="2"/>
  <c r="H17" i="2"/>
  <c r="H5" i="2"/>
  <c r="O5" i="2" s="1"/>
  <c r="H6" i="2"/>
  <c r="M6" i="2" s="1"/>
  <c r="H7" i="2"/>
  <c r="M7" i="2" s="1"/>
  <c r="H8" i="2"/>
  <c r="P8" i="2" s="1"/>
  <c r="H4" i="2"/>
  <c r="L4" i="2" s="1"/>
  <c r="O4" i="2" l="1"/>
  <c r="K8" i="2"/>
  <c r="O8" i="2"/>
  <c r="N8" i="2"/>
  <c r="M8" i="2"/>
  <c r="L8" i="2"/>
  <c r="N5" i="2"/>
  <c r="N6" i="2"/>
  <c r="P4" i="2"/>
  <c r="L5" i="2"/>
  <c r="K7" i="2"/>
  <c r="K6" i="2"/>
  <c r="L6" i="2"/>
  <c r="N4" i="2"/>
  <c r="L7" i="2"/>
  <c r="P6" i="2"/>
  <c r="O6" i="2"/>
  <c r="P7" i="2"/>
  <c r="K5" i="2"/>
  <c r="N7" i="2"/>
  <c r="P5" i="2"/>
  <c r="M4" i="2"/>
  <c r="M5" i="2"/>
  <c r="O7" i="2"/>
  <c r="R9" i="15" l="1"/>
  <c r="Q9" i="15"/>
  <c r="O9" i="15"/>
  <c r="E9" i="15"/>
  <c r="F9" i="15" s="1"/>
  <c r="R8" i="15"/>
  <c r="Q8" i="15"/>
  <c r="O8" i="15"/>
  <c r="F8" i="15"/>
  <c r="J8" i="15" s="1"/>
  <c r="E8" i="15"/>
  <c r="O10" i="14"/>
  <c r="E10" i="14"/>
  <c r="F10" i="14" s="1"/>
  <c r="O9" i="14"/>
  <c r="E9" i="14"/>
  <c r="F9" i="14" s="1"/>
  <c r="O8" i="14"/>
  <c r="F8" i="14"/>
  <c r="E8" i="14"/>
  <c r="U7" i="13"/>
  <c r="U8" i="13"/>
  <c r="U9" i="13"/>
  <c r="U10" i="13"/>
  <c r="U6" i="13"/>
  <c r="Q10" i="13"/>
  <c r="O10" i="13"/>
  <c r="E10" i="13"/>
  <c r="F10" i="13" s="1"/>
  <c r="Q9" i="13"/>
  <c r="O9" i="13"/>
  <c r="E9" i="13"/>
  <c r="F9" i="13" s="1"/>
  <c r="Q8" i="13"/>
  <c r="O8" i="13"/>
  <c r="E8" i="13"/>
  <c r="F8" i="13" s="1"/>
  <c r="E10" i="12"/>
  <c r="O10" i="12"/>
  <c r="F10" i="12"/>
  <c r="O9" i="12"/>
  <c r="F9" i="12"/>
  <c r="E9" i="12"/>
  <c r="O8" i="12"/>
  <c r="F8" i="12"/>
  <c r="E8" i="12"/>
  <c r="U10" i="11"/>
  <c r="V6" i="11"/>
  <c r="U6" i="11"/>
  <c r="K10" i="11"/>
  <c r="J10" i="11"/>
  <c r="R10" i="11"/>
  <c r="Q10" i="11"/>
  <c r="O10" i="11"/>
  <c r="F10" i="11"/>
  <c r="E10" i="11"/>
  <c r="R9" i="11"/>
  <c r="Q9" i="11"/>
  <c r="O9" i="11"/>
  <c r="F9" i="11"/>
  <c r="J9" i="11" s="1"/>
  <c r="E9" i="11"/>
  <c r="R8" i="11"/>
  <c r="Q8" i="11"/>
  <c r="O8" i="11"/>
  <c r="E8" i="11"/>
  <c r="F8" i="11" s="1"/>
  <c r="R10" i="10"/>
  <c r="Q10" i="10"/>
  <c r="O10" i="10"/>
  <c r="E10" i="10"/>
  <c r="F10" i="10" s="1"/>
  <c r="R9" i="10"/>
  <c r="Q9" i="10"/>
  <c r="O9" i="10"/>
  <c r="E9" i="10"/>
  <c r="F9" i="10" s="1"/>
  <c r="R8" i="10"/>
  <c r="Q8" i="10"/>
  <c r="O8" i="10"/>
  <c r="F8" i="10"/>
  <c r="J8" i="10" s="1"/>
  <c r="E8" i="10"/>
  <c r="V7" i="9"/>
  <c r="V6" i="9"/>
  <c r="U7" i="9"/>
  <c r="U6" i="9"/>
  <c r="E6" i="9"/>
  <c r="U6" i="8"/>
  <c r="K6" i="8"/>
  <c r="J6" i="8"/>
  <c r="F6" i="8"/>
  <c r="E6" i="8"/>
  <c r="O10" i="8"/>
  <c r="E10" i="8"/>
  <c r="F10" i="8" s="1"/>
  <c r="O9" i="8"/>
  <c r="E9" i="8"/>
  <c r="F9" i="8" s="1"/>
  <c r="O8" i="8"/>
  <c r="E8" i="8"/>
  <c r="F8" i="8" s="1"/>
  <c r="Q8" i="7"/>
  <c r="R10" i="7"/>
  <c r="Q10" i="7"/>
  <c r="R9" i="7"/>
  <c r="Q9" i="7"/>
  <c r="R8" i="7"/>
  <c r="O8" i="7"/>
  <c r="O9" i="7"/>
  <c r="O10" i="7"/>
  <c r="E8" i="7"/>
  <c r="F8" i="7" s="1"/>
  <c r="E9" i="7"/>
  <c r="F9" i="7" s="1"/>
  <c r="J9" i="7" s="1"/>
  <c r="E10" i="7"/>
  <c r="F10" i="7" s="1"/>
  <c r="E6" i="7"/>
  <c r="F6" i="7" s="1"/>
  <c r="O6" i="7"/>
  <c r="Q6" i="7"/>
  <c r="R6" i="7"/>
  <c r="E7" i="7"/>
  <c r="F7" i="7" s="1"/>
  <c r="O7" i="7"/>
  <c r="Q7" i="7"/>
  <c r="R7" i="7"/>
  <c r="K8" i="6"/>
  <c r="E8" i="6"/>
  <c r="F8" i="6"/>
  <c r="L8" i="6"/>
  <c r="M8" i="6"/>
  <c r="L6" i="6"/>
  <c r="O8" i="6"/>
  <c r="E8" i="5"/>
  <c r="F8" i="5" s="1"/>
  <c r="O8" i="5"/>
  <c r="E9" i="5"/>
  <c r="F9" i="5" s="1"/>
  <c r="O9" i="5"/>
  <c r="E10" i="5"/>
  <c r="F10" i="5" s="1"/>
  <c r="J10" i="5" s="1"/>
  <c r="L10" i="5" s="1"/>
  <c r="E6" i="5"/>
  <c r="F6" i="5" s="1"/>
  <c r="J6" i="5" s="1"/>
  <c r="O10" i="5"/>
  <c r="M7" i="4"/>
  <c r="M6" i="4"/>
  <c r="L6" i="4"/>
  <c r="K7" i="4"/>
  <c r="K6" i="4"/>
  <c r="J7" i="4"/>
  <c r="J6" i="4"/>
  <c r="F6" i="4"/>
  <c r="E6" i="4"/>
  <c r="F7" i="4"/>
  <c r="E7" i="4"/>
  <c r="O7" i="4"/>
  <c r="U7" i="4" s="1"/>
  <c r="E6" i="16"/>
  <c r="F6" i="16" s="1"/>
  <c r="E9" i="16"/>
  <c r="F9" i="16" s="1"/>
  <c r="O10" i="16"/>
  <c r="O9" i="16"/>
  <c r="O8" i="16"/>
  <c r="F10" i="16"/>
  <c r="J10" i="16" s="1"/>
  <c r="L10" i="16" s="1"/>
  <c r="E7" i="16"/>
  <c r="F7" i="16" s="1"/>
  <c r="J7" i="16" s="1"/>
  <c r="E8" i="16"/>
  <c r="F8" i="16" s="1"/>
  <c r="E10" i="16"/>
  <c r="O7" i="16"/>
  <c r="O6" i="16"/>
  <c r="R7" i="15"/>
  <c r="Q7" i="15"/>
  <c r="O7" i="15"/>
  <c r="E7" i="15"/>
  <c r="F7" i="15" s="1"/>
  <c r="R6" i="15"/>
  <c r="Q6" i="15"/>
  <c r="O6" i="15"/>
  <c r="E6" i="15"/>
  <c r="F6" i="15" s="1"/>
  <c r="O7" i="14"/>
  <c r="E7" i="14"/>
  <c r="F7" i="14" s="1"/>
  <c r="O6" i="14"/>
  <c r="E6" i="14"/>
  <c r="F6" i="14" s="1"/>
  <c r="Q7" i="13"/>
  <c r="O7" i="13"/>
  <c r="E7" i="13"/>
  <c r="F7" i="13" s="1"/>
  <c r="Q6" i="13"/>
  <c r="O6" i="13"/>
  <c r="E6" i="13"/>
  <c r="F6" i="13" s="1"/>
  <c r="J6" i="13" s="1"/>
  <c r="O7" i="12"/>
  <c r="E7" i="12"/>
  <c r="F7" i="12" s="1"/>
  <c r="O6" i="12"/>
  <c r="E6" i="12"/>
  <c r="F6" i="12" s="1"/>
  <c r="R7" i="11"/>
  <c r="Q7" i="11"/>
  <c r="O7" i="11"/>
  <c r="E7" i="11"/>
  <c r="F7" i="11" s="1"/>
  <c r="R6" i="11"/>
  <c r="Q6" i="11"/>
  <c r="O6" i="11"/>
  <c r="E6" i="11"/>
  <c r="F6" i="11" s="1"/>
  <c r="J6" i="11" s="1"/>
  <c r="R7" i="10"/>
  <c r="Q7" i="10"/>
  <c r="O7" i="10"/>
  <c r="E7" i="10"/>
  <c r="F7" i="10" s="1"/>
  <c r="J7" i="10" s="1"/>
  <c r="V7" i="10" s="1"/>
  <c r="R6" i="10"/>
  <c r="Q6" i="10"/>
  <c r="O6" i="10"/>
  <c r="E6" i="10"/>
  <c r="F6" i="10" s="1"/>
  <c r="O7" i="9"/>
  <c r="E7" i="9"/>
  <c r="F7" i="9" s="1"/>
  <c r="O6" i="9"/>
  <c r="F6" i="9"/>
  <c r="J6" i="9" s="1"/>
  <c r="O7" i="8"/>
  <c r="E7" i="8"/>
  <c r="F7" i="8" s="1"/>
  <c r="O6" i="8"/>
  <c r="O7" i="6"/>
  <c r="E7" i="6"/>
  <c r="F7" i="6" s="1"/>
  <c r="O6" i="6"/>
  <c r="E6" i="6"/>
  <c r="F6" i="6" s="1"/>
  <c r="O7" i="5"/>
  <c r="E7" i="5"/>
  <c r="F7" i="5" s="1"/>
  <c r="O6" i="5"/>
  <c r="O6" i="4"/>
  <c r="V6" i="4" s="1"/>
  <c r="H13" i="2"/>
  <c r="K10" i="16" l="1"/>
  <c r="M10" i="16" s="1"/>
  <c r="J9" i="16"/>
  <c r="L9" i="16" s="1"/>
  <c r="J8" i="16"/>
  <c r="L8" i="16" s="1"/>
  <c r="K7" i="16"/>
  <c r="M7" i="16" s="1"/>
  <c r="L7" i="16"/>
  <c r="J6" i="16"/>
  <c r="L6" i="16" s="1"/>
  <c r="K4" i="2"/>
  <c r="K13" i="2"/>
  <c r="J9" i="15"/>
  <c r="L9" i="15" s="1"/>
  <c r="L8" i="15"/>
  <c r="K8" i="15"/>
  <c r="M8" i="15" s="1"/>
  <c r="V8" i="15"/>
  <c r="U8" i="15"/>
  <c r="K10" i="14"/>
  <c r="M10" i="14" s="1"/>
  <c r="J10" i="14"/>
  <c r="L10" i="14" s="1"/>
  <c r="K9" i="14"/>
  <c r="M9" i="14" s="1"/>
  <c r="J9" i="14"/>
  <c r="L9" i="14" s="1"/>
  <c r="J8" i="14"/>
  <c r="L8" i="14" s="1"/>
  <c r="J10" i="13"/>
  <c r="J9" i="13"/>
  <c r="L9" i="13" s="1"/>
  <c r="J8" i="13"/>
  <c r="L8" i="13" s="1"/>
  <c r="J10" i="12"/>
  <c r="L10" i="12" s="1"/>
  <c r="K9" i="12"/>
  <c r="M9" i="12" s="1"/>
  <c r="V9" i="12"/>
  <c r="J9" i="12"/>
  <c r="L9" i="12" s="1"/>
  <c r="K8" i="12"/>
  <c r="M8" i="12" s="1"/>
  <c r="V8" i="12"/>
  <c r="J8" i="12"/>
  <c r="L8" i="12" s="1"/>
  <c r="K9" i="11"/>
  <c r="M9" i="11" s="1"/>
  <c r="V9" i="11"/>
  <c r="L9" i="11"/>
  <c r="U9" i="11"/>
  <c r="J8" i="11"/>
  <c r="L8" i="11" s="1"/>
  <c r="L10" i="11"/>
  <c r="V10" i="11"/>
  <c r="M10" i="11"/>
  <c r="J10" i="10"/>
  <c r="L10" i="10" s="1"/>
  <c r="J9" i="10"/>
  <c r="L9" i="10" s="1"/>
  <c r="V8" i="10"/>
  <c r="U8" i="10"/>
  <c r="L8" i="10"/>
  <c r="K8" i="10"/>
  <c r="M8" i="10" s="1"/>
  <c r="U7" i="10"/>
  <c r="U6" i="4"/>
  <c r="J10" i="8"/>
  <c r="K9" i="8"/>
  <c r="M9" i="8" s="1"/>
  <c r="J9" i="8"/>
  <c r="L9" i="8" s="1"/>
  <c r="J8" i="8"/>
  <c r="L8" i="8" s="1"/>
  <c r="U8" i="8"/>
  <c r="J10" i="7"/>
  <c r="K10" i="7" s="1"/>
  <c r="M10" i="7" s="1"/>
  <c r="U9" i="7"/>
  <c r="V9" i="7"/>
  <c r="L9" i="7"/>
  <c r="J8" i="7"/>
  <c r="K9" i="7"/>
  <c r="M9" i="7" s="1"/>
  <c r="J6" i="7"/>
  <c r="U6" i="7" s="1"/>
  <c r="J7" i="7"/>
  <c r="L7" i="7" s="1"/>
  <c r="J8" i="6"/>
  <c r="J9" i="5"/>
  <c r="L9" i="5" s="1"/>
  <c r="K9" i="5"/>
  <c r="M9" i="5" s="1"/>
  <c r="J8" i="5"/>
  <c r="L8" i="5" s="1"/>
  <c r="K10" i="5"/>
  <c r="M10" i="5" s="1"/>
  <c r="L7" i="4"/>
  <c r="V7" i="4"/>
  <c r="J7" i="9"/>
  <c r="L7" i="9" s="1"/>
  <c r="J7" i="12"/>
  <c r="J7" i="13"/>
  <c r="J7" i="11"/>
  <c r="L7" i="11" s="1"/>
  <c r="J6" i="14"/>
  <c r="L6" i="14" s="1"/>
  <c r="K6" i="5"/>
  <c r="M6" i="5" s="1"/>
  <c r="L6" i="5"/>
  <c r="J7" i="5"/>
  <c r="L7" i="5" s="1"/>
  <c r="J7" i="8"/>
  <c r="K7" i="8" s="1"/>
  <c r="M7" i="8" s="1"/>
  <c r="J7" i="15"/>
  <c r="L7" i="15" s="1"/>
  <c r="L6" i="13"/>
  <c r="K6" i="13"/>
  <c r="M6" i="13" s="1"/>
  <c r="J7" i="14"/>
  <c r="L7" i="14" s="1"/>
  <c r="J7" i="6"/>
  <c r="L7" i="6" s="1"/>
  <c r="L6" i="9"/>
  <c r="K6" i="9"/>
  <c r="M6" i="9" s="1"/>
  <c r="L6" i="11"/>
  <c r="K6" i="11"/>
  <c r="M6" i="11" s="1"/>
  <c r="M6" i="8"/>
  <c r="K7" i="10"/>
  <c r="M7" i="10" s="1"/>
  <c r="J6" i="12"/>
  <c r="L7" i="10"/>
  <c r="J6" i="15"/>
  <c r="V6" i="15" s="1"/>
  <c r="J6" i="6"/>
  <c r="J6" i="10"/>
  <c r="V6" i="10" s="1"/>
  <c r="K9" i="16" l="1"/>
  <c r="M9" i="16" s="1"/>
  <c r="K8" i="16"/>
  <c r="M8" i="16" s="1"/>
  <c r="K6" i="16"/>
  <c r="M6" i="16" s="1"/>
  <c r="U9" i="15"/>
  <c r="V9" i="15"/>
  <c r="K9" i="15"/>
  <c r="M9" i="15" s="1"/>
  <c r="V7" i="15"/>
  <c r="U7" i="15"/>
  <c r="K8" i="14"/>
  <c r="M8" i="14" s="1"/>
  <c r="K6" i="14"/>
  <c r="M6" i="14" s="1"/>
  <c r="K9" i="13"/>
  <c r="M9" i="13" s="1"/>
  <c r="K8" i="13"/>
  <c r="M8" i="13" s="1"/>
  <c r="L10" i="13"/>
  <c r="K10" i="13"/>
  <c r="M10" i="13" s="1"/>
  <c r="U10" i="12"/>
  <c r="V10" i="12"/>
  <c r="K10" i="12"/>
  <c r="M10" i="12" s="1"/>
  <c r="U9" i="12"/>
  <c r="U8" i="12"/>
  <c r="V8" i="11"/>
  <c r="K8" i="11"/>
  <c r="M8" i="11" s="1"/>
  <c r="U8" i="11"/>
  <c r="U7" i="11"/>
  <c r="V7" i="11"/>
  <c r="K7" i="11"/>
  <c r="M7" i="11" s="1"/>
  <c r="U10" i="10"/>
  <c r="V10" i="10"/>
  <c r="K10" i="10"/>
  <c r="M10" i="10" s="1"/>
  <c r="K9" i="10"/>
  <c r="M9" i="10" s="1"/>
  <c r="U9" i="10"/>
  <c r="V9" i="10"/>
  <c r="K6" i="10"/>
  <c r="M6" i="10" s="1"/>
  <c r="U10" i="8"/>
  <c r="L10" i="8"/>
  <c r="K10" i="8"/>
  <c r="M10" i="8" s="1"/>
  <c r="V10" i="8"/>
  <c r="U9" i="8"/>
  <c r="V9" i="8"/>
  <c r="V8" i="8"/>
  <c r="K8" i="8"/>
  <c r="M8" i="8" s="1"/>
  <c r="L8" i="7"/>
  <c r="U8" i="7"/>
  <c r="V8" i="7"/>
  <c r="K8" i="7"/>
  <c r="M8" i="7" s="1"/>
  <c r="L10" i="7"/>
  <c r="U10" i="7"/>
  <c r="V10" i="7"/>
  <c r="K6" i="7"/>
  <c r="M6" i="7" s="1"/>
  <c r="L6" i="7"/>
  <c r="V7" i="7"/>
  <c r="U7" i="7"/>
  <c r="K7" i="7"/>
  <c r="M7" i="7" s="1"/>
  <c r="V6" i="7"/>
  <c r="K8" i="5"/>
  <c r="M8" i="5" s="1"/>
  <c r="K7" i="6"/>
  <c r="M7" i="6" s="1"/>
  <c r="K6" i="6"/>
  <c r="M6" i="6" s="1"/>
  <c r="L7" i="12"/>
  <c r="V7" i="12"/>
  <c r="U7" i="12"/>
  <c r="L6" i="12"/>
  <c r="V6" i="12"/>
  <c r="L7" i="8"/>
  <c r="V7" i="8"/>
  <c r="U7" i="8"/>
  <c r="K7" i="12"/>
  <c r="M7" i="12" s="1"/>
  <c r="U6" i="12"/>
  <c r="K7" i="9"/>
  <c r="M7" i="9" s="1"/>
  <c r="K6" i="12"/>
  <c r="M6" i="12" s="1"/>
  <c r="L6" i="8"/>
  <c r="V6" i="8"/>
  <c r="U6" i="10"/>
  <c r="L6" i="10"/>
  <c r="K7" i="14"/>
  <c r="M7" i="14" s="1"/>
  <c r="K7" i="15"/>
  <c r="M7" i="15" s="1"/>
  <c r="K7" i="5"/>
  <c r="M7" i="5" s="1"/>
  <c r="L7" i="13"/>
  <c r="L6" i="15"/>
  <c r="U6" i="15"/>
  <c r="K7" i="13"/>
  <c r="M7" i="13" s="1"/>
  <c r="K6" i="15"/>
  <c r="M6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Greene</author>
  </authors>
  <commentList>
    <comment ref="F11" authorId="0" shapeId="0" xr:uid="{27B21DEA-3728-46D9-85F3-B4022CDCF455}">
      <text>
        <r>
          <rPr>
            <b/>
            <sz val="8"/>
            <color indexed="81"/>
            <rFont val="Tahoma"/>
            <family val="2"/>
          </rPr>
          <t>Rick Greene:</t>
        </r>
        <r>
          <rPr>
            <sz val="8"/>
            <color indexed="81"/>
            <rFont val="Tahoma"/>
            <family val="2"/>
          </rPr>
          <t xml:space="preserve">
There is no chronic aquatic life criterion for silver and hence T.U.c cannot be calculated.</t>
        </r>
      </text>
    </comment>
  </commentList>
</comments>
</file>

<file path=xl/sharedStrings.xml><?xml version="1.0" encoding="utf-8"?>
<sst xmlns="http://schemas.openxmlformats.org/spreadsheetml/2006/main" count="1084" uniqueCount="123">
  <si>
    <t>Sample Location</t>
  </si>
  <si>
    <t>HSCA</t>
  </si>
  <si>
    <t>241004-IRI-1-TOP</t>
  </si>
  <si>
    <t>241004-IRI-2-BOTTOM</t>
  </si>
  <si>
    <t>241003-IRI-3-TOP</t>
  </si>
  <si>
    <t>241003-IRI-4-BOTTOM</t>
  </si>
  <si>
    <t>240912-IRI-5-GRAB</t>
  </si>
  <si>
    <t>mg/kg</t>
  </si>
  <si>
    <t>Result</t>
  </si>
  <si>
    <t>Q</t>
  </si>
  <si>
    <t>SOIL BY 6020B(MG/KG)</t>
  </si>
  <si>
    <t>Aluminum</t>
  </si>
  <si>
    <t/>
  </si>
  <si>
    <t>F1</t>
  </si>
  <si>
    <t>Antimony</t>
  </si>
  <si>
    <t>ND</t>
  </si>
  <si>
    <t>Arsenic</t>
  </si>
  <si>
    <t>J</t>
  </si>
  <si>
    <t>Barium</t>
  </si>
  <si>
    <t>Beryllium</t>
  </si>
  <si>
    <t>Cadmium</t>
  </si>
  <si>
    <t>Calcium</t>
  </si>
  <si>
    <t>NA</t>
  </si>
  <si>
    <t>Chromium</t>
  </si>
  <si>
    <t>Cobalt</t>
  </si>
  <si>
    <t>Copper</t>
  </si>
  <si>
    <t>Iron</t>
  </si>
  <si>
    <t>Lead</t>
  </si>
  <si>
    <t>J F1 F2</t>
  </si>
  <si>
    <t>Magnesium</t>
  </si>
  <si>
    <t>Manganese</t>
  </si>
  <si>
    <t>Nickel</t>
  </si>
  <si>
    <t>Potassium</t>
  </si>
  <si>
    <t>Selenium</t>
  </si>
  <si>
    <t>Silver</t>
  </si>
  <si>
    <t>Sodium</t>
  </si>
  <si>
    <t>F1 F2</t>
  </si>
  <si>
    <t>Thallium</t>
  </si>
  <si>
    <t>Vanadium</t>
  </si>
  <si>
    <t>Zinc</t>
  </si>
  <si>
    <t>SOIL BY 7471B(MG/KG)</t>
  </si>
  <si>
    <t>Mercury</t>
  </si>
  <si>
    <t>NA = not applicable/no standard</t>
  </si>
  <si>
    <t>F1 = MS and/or MSD recovery exceeds control limits.</t>
  </si>
  <si>
    <t>F2 = MS/MSD PRD exceeds control limits</t>
  </si>
  <si>
    <t>Acute Toxic Units</t>
  </si>
  <si>
    <t>IWBU</t>
  </si>
  <si>
    <r>
      <t>% of T.U.</t>
    </r>
    <r>
      <rPr>
        <vertAlign val="subscript"/>
        <sz val="10"/>
        <rFont val="Arial"/>
        <family val="2"/>
      </rPr>
      <t>a</t>
    </r>
  </si>
  <si>
    <t>Sample ID</t>
  </si>
  <si>
    <r>
      <t>T.U.</t>
    </r>
    <r>
      <rPr>
        <vertAlign val="subscript"/>
        <sz val="10"/>
        <rFont val="Arial"/>
        <family val="2"/>
      </rPr>
      <t>a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</si>
  <si>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T.U.</t>
    </r>
    <r>
      <rPr>
        <vertAlign val="subscript"/>
        <sz val="10"/>
        <rFont val="Arial"/>
        <family val="2"/>
      </rPr>
      <t>a</t>
    </r>
  </si>
  <si>
    <t>from Cd</t>
  </si>
  <si>
    <t>from Cu</t>
  </si>
  <si>
    <t>from Pb</t>
  </si>
  <si>
    <t>from Ni</t>
  </si>
  <si>
    <t>from Ag</t>
  </si>
  <si>
    <t>from Zn</t>
  </si>
  <si>
    <t>Chronic Toxic Units and IWBUs</t>
  </si>
  <si>
    <t>% of IWBU</t>
  </si>
  <si>
    <r>
      <t>T.U.</t>
    </r>
    <r>
      <rPr>
        <vertAlign val="subscript"/>
        <sz val="10"/>
        <rFont val="Arial"/>
        <family val="2"/>
      </rPr>
      <t>c</t>
    </r>
  </si>
  <si>
    <t>Antimony Calculations</t>
  </si>
  <si>
    <r>
      <t>TOC</t>
    </r>
    <r>
      <rPr>
        <b/>
        <vertAlign val="subscript"/>
        <sz val="10"/>
        <rFont val="Calibri"/>
        <family val="2"/>
        <scheme val="minor"/>
      </rPr>
      <t>sed</t>
    </r>
  </si>
  <si>
    <r>
      <t>log K</t>
    </r>
    <r>
      <rPr>
        <b/>
        <vertAlign val="subscript"/>
        <sz val="10"/>
        <rFont val="Calibri"/>
        <family val="2"/>
        <scheme val="minor"/>
      </rPr>
      <t>d1</t>
    </r>
  </si>
  <si>
    <r>
      <t>C</t>
    </r>
    <r>
      <rPr>
        <b/>
        <vertAlign val="subscript"/>
        <sz val="10"/>
        <rFont val="Calibri"/>
        <family val="2"/>
        <scheme val="minor"/>
      </rPr>
      <t>d,pw</t>
    </r>
  </si>
  <si>
    <r>
      <t>log K</t>
    </r>
    <r>
      <rPr>
        <b/>
        <vertAlign val="subscript"/>
        <sz val="10"/>
        <rFont val="Calibri"/>
        <family val="2"/>
        <scheme val="minor"/>
      </rPr>
      <t>d2</t>
    </r>
  </si>
  <si>
    <t>DOC Water Column</t>
  </si>
  <si>
    <t>DOC Pore Water</t>
  </si>
  <si>
    <r>
      <t>C</t>
    </r>
    <r>
      <rPr>
        <b/>
        <vertAlign val="subscript"/>
        <sz val="10"/>
        <rFont val="Calibri"/>
        <family val="2"/>
        <scheme val="minor"/>
      </rPr>
      <t>d,pw,inorg</t>
    </r>
  </si>
  <si>
    <r>
      <t>C</t>
    </r>
    <r>
      <rPr>
        <b/>
        <vertAlign val="subscript"/>
        <sz val="10"/>
        <rFont val="Calibri"/>
        <family val="2"/>
        <scheme val="minor"/>
      </rPr>
      <t>d,pw,DOC bound</t>
    </r>
  </si>
  <si>
    <r>
      <t>f</t>
    </r>
    <r>
      <rPr>
        <b/>
        <vertAlign val="subscript"/>
        <sz val="10"/>
        <rFont val="Calibri"/>
        <family val="2"/>
        <scheme val="minor"/>
      </rPr>
      <t>inorg</t>
    </r>
  </si>
  <si>
    <r>
      <t>f</t>
    </r>
    <r>
      <rPr>
        <b/>
        <vertAlign val="subscript"/>
        <sz val="10"/>
        <rFont val="Calibri"/>
        <family val="2"/>
        <scheme val="minor"/>
      </rPr>
      <t>DOC bound</t>
    </r>
  </si>
  <si>
    <t>Salinity</t>
  </si>
  <si>
    <t>Fresh or Marine</t>
  </si>
  <si>
    <t>Hardness</t>
  </si>
  <si>
    <r>
      <t>CMC</t>
    </r>
    <r>
      <rPr>
        <b/>
        <vertAlign val="subscript"/>
        <sz val="10"/>
        <rFont val="Calibri"/>
        <family val="2"/>
        <scheme val="minor"/>
      </rPr>
      <t>d</t>
    </r>
    <r>
      <rPr>
        <b/>
        <sz val="10"/>
        <rFont val="Calibri"/>
        <family val="2"/>
        <scheme val="minor"/>
      </rPr>
      <t xml:space="preserve"> Acute</t>
    </r>
    <r>
      <rPr>
        <b/>
        <vertAlign val="subscript"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Fresh</t>
    </r>
  </si>
  <si>
    <r>
      <t>CCC</t>
    </r>
    <r>
      <rPr>
        <b/>
        <vertAlign val="subscript"/>
        <sz val="10"/>
        <rFont val="Calibri"/>
        <family val="2"/>
        <scheme val="minor"/>
      </rPr>
      <t>d</t>
    </r>
    <r>
      <rPr>
        <b/>
        <sz val="10"/>
        <rFont val="Calibri"/>
        <family val="2"/>
        <scheme val="minor"/>
      </rPr>
      <t xml:space="preserve"> Chronic Fresh</t>
    </r>
  </si>
  <si>
    <r>
      <t>CMC</t>
    </r>
    <r>
      <rPr>
        <b/>
        <vertAlign val="subscript"/>
        <sz val="10"/>
        <rFont val="Calibri"/>
        <family val="2"/>
        <scheme val="minor"/>
      </rPr>
      <t>d</t>
    </r>
    <r>
      <rPr>
        <b/>
        <sz val="10"/>
        <rFont val="Calibri"/>
        <family val="2"/>
        <scheme val="minor"/>
      </rPr>
      <t xml:space="preserve"> Acute</t>
    </r>
    <r>
      <rPr>
        <b/>
        <vertAlign val="subscript"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Marine</t>
    </r>
  </si>
  <si>
    <r>
      <t>CCC</t>
    </r>
    <r>
      <rPr>
        <b/>
        <vertAlign val="subscript"/>
        <sz val="10"/>
        <rFont val="Calibri"/>
        <family val="2"/>
        <scheme val="minor"/>
      </rPr>
      <t>d</t>
    </r>
    <r>
      <rPr>
        <b/>
        <sz val="10"/>
        <rFont val="Calibri"/>
        <family val="2"/>
        <scheme val="minor"/>
      </rPr>
      <t xml:space="preserve"> Chronic Marine</t>
    </r>
  </si>
  <si>
    <r>
      <t>T.U.</t>
    </r>
    <r>
      <rPr>
        <b/>
        <vertAlign val="subscript"/>
        <sz val="10"/>
        <rFont val="Calibri"/>
        <family val="2"/>
        <scheme val="minor"/>
      </rPr>
      <t>a</t>
    </r>
  </si>
  <si>
    <r>
      <t>T.U.</t>
    </r>
    <r>
      <rPr>
        <b/>
        <vertAlign val="subscript"/>
        <sz val="10"/>
        <rFont val="Calibri"/>
        <family val="2"/>
        <scheme val="minor"/>
      </rPr>
      <t>c</t>
    </r>
  </si>
  <si>
    <t>(mg/kg dw)</t>
  </si>
  <si>
    <t>(%)</t>
  </si>
  <si>
    <t>(L/kg)</t>
  </si>
  <si>
    <t>(mg/L)</t>
  </si>
  <si>
    <t>(ug/L)</t>
  </si>
  <si>
    <t>(L/kg oc)</t>
  </si>
  <si>
    <t>(ppt)</t>
  </si>
  <si>
    <t>F or M</t>
  </si>
  <si>
    <r>
      <t>(mg/L CaCO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</si>
  <si>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t>Lab Data</t>
  </si>
  <si>
    <t>EPA 2005a</t>
  </si>
  <si>
    <t>Summary</t>
  </si>
  <si>
    <t>SWQS</t>
  </si>
  <si>
    <t>Assumption</t>
  </si>
  <si>
    <t>No aquatic life criteria for antimony</t>
  </si>
  <si>
    <t xml:space="preserve">This is measured in 1/2 units due to it's natural background quality in sediments </t>
  </si>
  <si>
    <t>Arsenic Calculations</t>
  </si>
  <si>
    <t>Barium Calculations</t>
  </si>
  <si>
    <t>ACR Marine</t>
  </si>
  <si>
    <t>No aquatic life criteria for barium</t>
  </si>
  <si>
    <t>Beryllium Calculations</t>
  </si>
  <si>
    <t>No aquatic life criteria for beryllium</t>
  </si>
  <si>
    <t>Cadmium Calculations</t>
  </si>
  <si>
    <t>Chromium Calculations</t>
  </si>
  <si>
    <t>Copper Calculations</t>
  </si>
  <si>
    <t>Lead Calculations</t>
  </si>
  <si>
    <t>Nickel Calculations</t>
  </si>
  <si>
    <t>Selenium Calculations</t>
  </si>
  <si>
    <t>Silver Calculations</t>
  </si>
  <si>
    <t>NA = Not Available</t>
  </si>
  <si>
    <t>Thallium Calculations</t>
  </si>
  <si>
    <t>No aquatic life criteria for thallium</t>
  </si>
  <si>
    <t>Zinc Calculations</t>
  </si>
  <si>
    <t>ND = compound analyzed for, but not detected above detection limit</t>
  </si>
  <si>
    <t>J = approximate value.</t>
  </si>
  <si>
    <t>MDL</t>
  </si>
  <si>
    <t>Screening Level</t>
  </si>
  <si>
    <t>.</t>
  </si>
  <si>
    <r>
      <rPr>
        <sz val="11"/>
        <rFont val="Symbol"/>
        <family val="1"/>
        <charset val="2"/>
      </rPr>
      <t>S</t>
    </r>
    <r>
      <rPr>
        <sz val="11"/>
        <rFont val="Calibri"/>
        <family val="2"/>
        <scheme val="minor"/>
      </rPr>
      <t>T.U.</t>
    </r>
    <r>
      <rPr>
        <vertAlign val="subscript"/>
        <sz val="11"/>
        <rFont val="Calibri"/>
        <family val="2"/>
        <scheme val="minor"/>
      </rPr>
      <t>c</t>
    </r>
  </si>
  <si>
    <t>Eco Screening Level</t>
  </si>
  <si>
    <t>EPA Reg 4 Marine/Estu</t>
  </si>
  <si>
    <t>EPA Reg 4 Mammals</t>
  </si>
  <si>
    <t>Avg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</si>
</sst>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"/>
    <numFmt numFmtId="167" formatCode="0.00000"/>
  </numFmts>
  <fonts count="2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vertAlign val="subscript"/>
      <sz val="10"/>
      <name val="Arial"/>
      <family val="2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name val="Arial"/>
      <family val="2"/>
    </font>
    <font>
      <vertAlign val="subscript"/>
      <sz val="11"/>
      <name val="Calibri"/>
      <family val="2"/>
      <scheme val="minor"/>
    </font>
    <font>
      <sz val="11"/>
      <name val="Calibri"/>
      <family val="1"/>
      <charset val="2"/>
      <scheme val="minor"/>
    </font>
    <font>
      <sz val="1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3383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24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1" xfId="3" applyFont="1" applyBorder="1" applyAlignment="1">
      <alignment horizontal="left" wrapText="1"/>
    </xf>
    <xf numFmtId="0" fontId="6" fillId="0" borderId="1" xfId="3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7" fillId="0" borderId="1" xfId="3" applyFont="1" applyBorder="1" applyAlignment="1">
      <alignment horizontal="right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right" vertical="center"/>
    </xf>
    <xf numFmtId="0" fontId="7" fillId="0" borderId="1" xfId="3" applyFont="1" applyBorder="1" applyAlignment="1">
      <alignment horizontal="left" wrapText="1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1" xfId="3" applyFont="1" applyBorder="1" applyAlignment="1">
      <alignment horizontal="right" wrapText="1"/>
    </xf>
    <xf numFmtId="0" fontId="0" fillId="0" borderId="0" xfId="0" applyFont="1" applyAlignment="1">
      <alignment horizontal="left" vertical="center"/>
    </xf>
    <xf numFmtId="0" fontId="7" fillId="0" borderId="0" xfId="3" applyFont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5" xfId="0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7" fillId="0" borderId="3" xfId="0" applyFont="1" applyBorder="1" applyAlignment="1">
      <alignment horizontal="center"/>
    </xf>
    <xf numFmtId="0" fontId="10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/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7" xfId="0" applyFont="1" applyBorder="1"/>
    <xf numFmtId="0" fontId="22" fillId="0" borderId="0" xfId="0" applyFont="1"/>
    <xf numFmtId="0" fontId="17" fillId="5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11" fontId="17" fillId="0" borderId="10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1" fontId="17" fillId="0" borderId="1" xfId="0" applyNumberFormat="1" applyFont="1" applyBorder="1" applyAlignment="1">
      <alignment horizontal="center"/>
    </xf>
    <xf numFmtId="165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5" borderId="0" xfId="0" applyFont="1" applyFill="1"/>
    <xf numFmtId="0" fontId="17" fillId="0" borderId="10" xfId="0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/>
    </xf>
    <xf numFmtId="164" fontId="23" fillId="2" borderId="10" xfId="1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164" fontId="23" fillId="2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164" fontId="23" fillId="2" borderId="19" xfId="1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13" xfId="0" applyFont="1" applyBorder="1" applyAlignment="1">
      <alignment horizontal="center"/>
    </xf>
    <xf numFmtId="166" fontId="17" fillId="0" borderId="10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7" fillId="0" borderId="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7" fillId="0" borderId="10" xfId="0" applyFont="1" applyFill="1" applyBorder="1" applyAlignment="1">
      <alignment horizontal="center" vertical="center"/>
    </xf>
    <xf numFmtId="2" fontId="17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164" fontId="9" fillId="0" borderId="10" xfId="1" applyNumberFormat="1" applyFont="1" applyFill="1" applyBorder="1" applyAlignment="1">
      <alignment horizontal="center"/>
    </xf>
    <xf numFmtId="164" fontId="7" fillId="0" borderId="10" xfId="2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0" fillId="0" borderId="1" xfId="0" applyBorder="1"/>
    <xf numFmtId="167" fontId="23" fillId="2" borderId="1" xfId="1" applyNumberFormat="1" applyFont="1" applyBorder="1" applyAlignment="1">
      <alignment horizontal="center"/>
    </xf>
    <xf numFmtId="167" fontId="23" fillId="2" borderId="10" xfId="1" applyNumberFormat="1" applyFont="1" applyBorder="1" applyAlignment="1">
      <alignment horizontal="center"/>
    </xf>
    <xf numFmtId="0" fontId="6" fillId="0" borderId="16" xfId="3" applyFont="1" applyBorder="1" applyAlignment="1">
      <alignment horizontal="right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/>
    <xf numFmtId="0" fontId="0" fillId="0" borderId="24" xfId="0" applyBorder="1"/>
    <xf numFmtId="0" fontId="0" fillId="0" borderId="7" xfId="0" applyBorder="1"/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7" fillId="6" borderId="1" xfId="3" applyFont="1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17" fillId="0" borderId="1" xfId="0" applyFont="1" applyBorder="1" applyAlignment="1">
      <alignment horizontal="center"/>
    </xf>
    <xf numFmtId="0" fontId="6" fillId="0" borderId="16" xfId="3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7" fillId="0" borderId="16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0" fontId="0" fillId="0" borderId="1" xfId="0" applyBorder="1" applyAlignment="1"/>
    <xf numFmtId="0" fontId="7" fillId="0" borderId="1" xfId="3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5" xfId="0" applyBorder="1"/>
    <xf numFmtId="0" fontId="0" fillId="0" borderId="1" xfId="0" applyBorder="1"/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0" fillId="0" borderId="13" xfId="0" applyBorder="1"/>
  </cellXfs>
  <cellStyles count="5">
    <cellStyle name="Bad" xfId="2" builtinId="27"/>
    <cellStyle name="Good" xfId="1" builtinId="26"/>
    <cellStyle name="Normal" xfId="0" builtinId="0"/>
    <cellStyle name="Normal 2" xfId="4" xr:uid="{50DB4876-7653-4CA0-AE88-E373C6EC0BDE}"/>
    <cellStyle name="Normal 3" xfId="3" xr:uid="{7AAF8D2B-5B3B-45F1-8967-4EE127307332}"/>
  </cellStyles>
  <dxfs count="3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13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8654430758171"/>
          <c:y val="0.21345284965418074"/>
          <c:w val="0.78717162263282348"/>
          <c:h val="0.6943686490026764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'TUa &amp;IWBU Results '!$H$13:$H$17</c:f>
              <c:numCache>
                <c:formatCode>0.00</c:formatCode>
                <c:ptCount val="5"/>
                <c:pt idx="0">
                  <c:v>9.979637094101039E-2</c:v>
                </c:pt>
                <c:pt idx="1">
                  <c:v>8.4814739695570032E-2</c:v>
                </c:pt>
                <c:pt idx="2">
                  <c:v>1.1859087731555586E-2</c:v>
                </c:pt>
                <c:pt idx="3">
                  <c:v>1.4205163419400105E-2</c:v>
                </c:pt>
                <c:pt idx="4">
                  <c:v>8.0824028437142693E-3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E6-40B2-A791-B9FD42F9F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100"/>
        <c:axId val="250182623"/>
        <c:axId val="305331375"/>
      </c:barChart>
      <c:catAx>
        <c:axId val="25018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31375"/>
        <c:crosses val="autoZero"/>
        <c:auto val="1"/>
        <c:lblAlgn val="ctr"/>
        <c:lblOffset val="100"/>
        <c:noMultiLvlLbl val="0"/>
      </c:catAx>
      <c:valAx>
        <c:axId val="305331375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rgbClr val="C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IWBU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18262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8654430758171"/>
          <c:y val="0.21345284965418074"/>
          <c:w val="0.78717162263282348"/>
          <c:h val="0.69436864900267647"/>
        </c:manualLayout>
      </c:layout>
      <c:barChart>
        <c:barDir val="col"/>
        <c:grouping val="stacked"/>
        <c:varyColors val="0"/>
        <c:ser>
          <c:idx val="5"/>
          <c:order val="0"/>
          <c:tx>
            <c:v>where M is: Cd, Cu, Pb, Ni, Ag, Zn</c:v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'TUa &amp;IWBU Results '!$H$4:$H$8</c:f>
              <c:numCache>
                <c:formatCode>0.00</c:formatCode>
                <c:ptCount val="5"/>
                <c:pt idx="0">
                  <c:v>9.1375902464992512E-2</c:v>
                </c:pt>
                <c:pt idx="1">
                  <c:v>8.4926264695007997E-2</c:v>
                </c:pt>
                <c:pt idx="2">
                  <c:v>4.6372662000087196E-2</c:v>
                </c:pt>
                <c:pt idx="3">
                  <c:v>5.8623441282952826E-2</c:v>
                </c:pt>
                <c:pt idx="4">
                  <c:v>7.2639420013041371E-3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8B0-BE61-A603475D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100"/>
        <c:axId val="250182623"/>
        <c:axId val="305331375"/>
      </c:barChart>
      <c:catAx>
        <c:axId val="250182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31375"/>
        <c:crosses val="autoZero"/>
        <c:auto val="1"/>
        <c:lblAlgn val="ctr"/>
        <c:lblOffset val="100"/>
        <c:noMultiLvlLbl val="0"/>
      </c:catAx>
      <c:valAx>
        <c:axId val="305331375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rgbClr val="C0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IWBU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18262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594877</xdr:colOff>
      <xdr:row>24</xdr:row>
      <xdr:rowOff>129391</xdr:rowOff>
    </xdr:from>
    <xdr:to>
      <xdr:col>7</xdr:col>
      <xdr:colOff>493059</xdr:colOff>
      <xdr:row>46</xdr:row>
      <xdr:rowOff>22173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98C99C-C697-4629-9600-3A3BB89D4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291353</xdr:colOff>
      <xdr:row>24</xdr:row>
      <xdr:rowOff>102534</xdr:rowOff>
    </xdr:from>
    <xdr:to>
      <xdr:col>15</xdr:col>
      <xdr:colOff>235324</xdr:colOff>
      <xdr:row>45</xdr:row>
      <xdr:rowOff>168089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EC650B-41D6-4F88-83EA-902667400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0.10724</cdr:x>
      <cdr:y>0.00938</cdr:y>
    </cdr:from>
    <cdr:to>
      <cdr:x>0.93218</cdr:x>
      <cdr:y>0.14898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67BC970B-E1FF-AF8F-1664-0D1E09FB41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16215" y="38100"/>
          <a:ext cx="3970995" cy="56697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0.15225</cdr:x>
      <cdr:y>0.13477</cdr:y>
    </cdr:from>
    <cdr:to>
      <cdr:x>0.87401</cdr:x>
      <cdr:y>0.19554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id="{73C3B6F9-2741-DC9A-6A91-431B04A004A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2886" y="547342"/>
          <a:ext cx="3474306" cy="246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400" b="0" i="0" baseline="0">
              <a:effectLst/>
              <a:latin typeface="+mn-lt"/>
              <a:ea typeface="+mn-ea"/>
              <a:cs typeface="+mn-cs"/>
            </a:rPr>
            <a:t>IWBU = </a:t>
          </a:r>
          <a:r>
            <a:rPr lang="el-GR" sz="1400" b="0" i="0" baseline="0">
              <a:effectLst/>
              <a:latin typeface="+mn-lt"/>
              <a:ea typeface="+mn-ea"/>
              <a:cs typeface="+mn-cs"/>
            </a:rPr>
            <a:t>Σ</a:t>
          </a:r>
          <a:r>
            <a:rPr lang="en-US" sz="1400" b="0" i="0" baseline="-25000">
              <a:effectLst/>
              <a:latin typeface="+mn-lt"/>
              <a:ea typeface="+mn-ea"/>
              <a:cs typeface="+mn-cs"/>
            </a:rPr>
            <a:t>i</a:t>
          </a:r>
          <a:r>
            <a:rPr lang="en-US" sz="1400" b="0" i="0" baseline="0">
              <a:effectLst/>
              <a:latin typeface="+mn-lt"/>
              <a:ea typeface="+mn-ea"/>
              <a:cs typeface="+mn-cs"/>
            </a:rPr>
            <a:t> [M</a:t>
          </a:r>
          <a:r>
            <a:rPr lang="en-US" sz="1400" b="0" i="0" baseline="-25000">
              <a:effectLst/>
              <a:latin typeface="+mn-lt"/>
              <a:ea typeface="+mn-ea"/>
              <a:cs typeface="+mn-cs"/>
            </a:rPr>
            <a:t>i,dissolved in pore water</a:t>
          </a:r>
          <a:r>
            <a:rPr lang="en-US" sz="1400" b="0" i="0" baseline="0">
              <a:effectLst/>
              <a:latin typeface="+mn-lt"/>
              <a:ea typeface="+mn-ea"/>
              <a:cs typeface="+mn-cs"/>
            </a:rPr>
            <a:t> ]/[FCV</a:t>
          </a:r>
          <a:r>
            <a:rPr lang="en-US" sz="1400" b="0" i="0" baseline="-25000">
              <a:effectLst/>
              <a:latin typeface="+mn-lt"/>
              <a:ea typeface="+mn-ea"/>
              <a:cs typeface="+mn-cs"/>
            </a:rPr>
            <a:t>i,dissolved</a:t>
          </a:r>
          <a:r>
            <a:rPr lang="en-US" sz="1400" b="0" i="0" baseline="0">
              <a:effectLst/>
              <a:latin typeface="+mn-lt"/>
              <a:ea typeface="+mn-ea"/>
              <a:cs typeface="+mn-cs"/>
            </a:rPr>
            <a:t>]</a:t>
          </a:r>
          <a:endParaRPr lang="en-US" sz="1400">
            <a:effectLst/>
          </a:endParaRPr>
        </a:p>
        <a:p xmlns:a="http://schemas.openxmlformats.org/drawingml/2006/main"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     </a:t>
          </a:r>
        </a:p>
      </cdr:txBody>
    </cdr:sp>
  </cdr:relSizeAnchor>
  <cdr:relSizeAnchor xmlns:cdr="http://schemas.openxmlformats.org/drawingml/2006/chartDrawing">
    <cdr:from>
      <cdr:x>0.38737</cdr:x>
      <cdr:y>0.2817</cdr:y>
    </cdr:from>
    <cdr:to>
      <cdr:x>0.70462</cdr:x>
      <cdr:y>0.32614</cdr:y>
    </cdr:to>
    <cdr:sp macro="" textlink="">
      <cdr:nvSpPr>
        <cdr:cNvPr id="9" name="Text Box 8">
          <a:extLst xmlns:a="http://schemas.openxmlformats.org/drawingml/2006/main">
            <a:ext uri="{FF2B5EF4-FFF2-40B4-BE49-F238E27FC236}">
              <a16:creationId xmlns:a16="http://schemas.microsoft.com/office/drawing/2014/main" id="{91D40006-F1B7-D957-D237-BC45204B070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4692" y="1144104"/>
          <a:ext cx="1527114" cy="180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100" b="0" i="1" u="none" strike="noStrike" baseline="0">
              <a:solidFill>
                <a:srgbClr val="C00000"/>
              </a:solidFill>
              <a:latin typeface="+mn-lt"/>
              <a:cs typeface="Arial"/>
            </a:rPr>
            <a:t>Potential Chronic Toxicity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0.09807</cdr:x>
      <cdr:y>0.0011</cdr:y>
    </cdr:from>
    <cdr:to>
      <cdr:x>0.92301</cdr:x>
      <cdr:y>0.1407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67BC970B-E1FF-AF8F-1664-0D1E09FB418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71017" y="4479"/>
          <a:ext cx="3962184" cy="56696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0.15458</cdr:x>
      <cdr:y>0.13201</cdr:y>
    </cdr:from>
    <cdr:to>
      <cdr:x>0.87634</cdr:x>
      <cdr:y>0.19278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id="{73C3B6F9-2741-DC9A-6A91-431B04A004A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2462" y="536145"/>
          <a:ext cx="3466611" cy="246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200" b="0" i="0" baseline="0">
              <a:effectLst/>
              <a:latin typeface="+mn-lt"/>
              <a:ea typeface="+mn-ea"/>
              <a:cs typeface="+mn-cs"/>
            </a:rPr>
            <a:t>IWBU = </a:t>
          </a:r>
          <a:r>
            <a:rPr lang="el-GR" sz="1200" b="0" i="0" baseline="0">
              <a:effectLst/>
              <a:latin typeface="+mn-lt"/>
              <a:ea typeface="+mn-ea"/>
              <a:cs typeface="+mn-cs"/>
            </a:rPr>
            <a:t>Σ</a:t>
          </a:r>
          <a:r>
            <a:rPr lang="en-US" sz="1200" b="0" i="0" baseline="-25000">
              <a:effectLst/>
              <a:latin typeface="+mn-lt"/>
              <a:ea typeface="+mn-ea"/>
              <a:cs typeface="+mn-cs"/>
            </a:rPr>
            <a:t>i</a:t>
          </a:r>
          <a:r>
            <a:rPr lang="en-US" sz="1200" b="0" i="0" baseline="0">
              <a:effectLst/>
              <a:latin typeface="+mn-lt"/>
              <a:ea typeface="+mn-ea"/>
              <a:cs typeface="+mn-cs"/>
            </a:rPr>
            <a:t> [M</a:t>
          </a:r>
          <a:r>
            <a:rPr lang="en-US" sz="1200" b="0" i="0" baseline="-25000">
              <a:effectLst/>
              <a:latin typeface="+mn-lt"/>
              <a:ea typeface="+mn-ea"/>
              <a:cs typeface="+mn-cs"/>
            </a:rPr>
            <a:t>i,dissolved in pore water</a:t>
          </a:r>
          <a:r>
            <a:rPr lang="en-US" sz="1200" b="0" i="0" baseline="0">
              <a:effectLst/>
              <a:latin typeface="+mn-lt"/>
              <a:ea typeface="+mn-ea"/>
              <a:cs typeface="+mn-cs"/>
            </a:rPr>
            <a:t> ]/[FCV</a:t>
          </a:r>
          <a:r>
            <a:rPr lang="en-US" sz="1200" b="0" i="0" baseline="-25000">
              <a:effectLst/>
              <a:latin typeface="+mn-lt"/>
              <a:ea typeface="+mn-ea"/>
              <a:cs typeface="+mn-cs"/>
            </a:rPr>
            <a:t>i,dissolved</a:t>
          </a:r>
          <a:r>
            <a:rPr lang="en-US" sz="1200" b="0" i="0" baseline="0">
              <a:effectLst/>
              <a:latin typeface="+mn-lt"/>
              <a:ea typeface="+mn-ea"/>
              <a:cs typeface="+mn-cs"/>
            </a:rPr>
            <a:t>]</a:t>
          </a:r>
          <a:endParaRPr lang="en-US" sz="1200">
            <a:effectLst/>
          </a:endParaRPr>
        </a:p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    </a:t>
          </a:r>
        </a:p>
      </cdr:txBody>
    </cdr:sp>
  </cdr:relSizeAnchor>
  <cdr:relSizeAnchor xmlns:cdr="http://schemas.openxmlformats.org/drawingml/2006/chartDrawing">
    <cdr:from>
      <cdr:x>0.35471</cdr:x>
      <cdr:y>0.2817</cdr:y>
    </cdr:from>
    <cdr:to>
      <cdr:x>0.67196</cdr:x>
      <cdr:y>0.32614</cdr:y>
    </cdr:to>
    <cdr:sp macro="" textlink="">
      <cdr:nvSpPr>
        <cdr:cNvPr id="9" name="Text Box 8">
          <a:extLst xmlns:a="http://schemas.openxmlformats.org/drawingml/2006/main">
            <a:ext uri="{FF2B5EF4-FFF2-40B4-BE49-F238E27FC236}">
              <a16:creationId xmlns:a16="http://schemas.microsoft.com/office/drawing/2014/main" id="{91D40006-F1B7-D957-D237-BC45204B070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3654" y="1144088"/>
          <a:ext cx="1523750" cy="180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100" b="0" i="1" u="none" strike="noStrike" baseline="0">
              <a:solidFill>
                <a:srgbClr val="C00000"/>
              </a:solidFill>
              <a:latin typeface="+mn-lt"/>
              <a:cs typeface="Arial"/>
            </a:rPr>
            <a:t>Potential Acute Toxicity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EAE9-7098-4C0D-A4D9-F8E2A731590D}">
  <dimension ref="B2:Y38"/>
  <sheetViews>
    <sheetView tabSelected="1" zoomScale="85" zoomScaleNormal="85" workbookViewId="0">
      <selection activeCell="Y18" sqref="Y18"/>
    </sheetView>
  </sheetViews>
  <sheetFormatPr defaultRowHeight="15"/>
  <cols>
    <col min="1" max="1" width="9.140625" style="6"/>
    <col min="2" max="2" width="25.140625" style="15" customWidth="1"/>
    <col min="3" max="3" width="13.140625" style="16" customWidth="1"/>
    <col min="4" max="5" width="13.42578125" style="16" hidden="1" customWidth="1"/>
    <col min="6" max="6" width="16.140625" style="16" bestFit="1" customWidth="1"/>
    <col min="7" max="7" width="2.42578125" style="16" bestFit="1" customWidth="1"/>
    <col min="8" max="8" width="5.5703125" style="16" customWidth="1"/>
    <col min="9" max="9" width="15.42578125" style="16" customWidth="1"/>
    <col min="10" max="10" width="3.140625" style="16" customWidth="1"/>
    <col min="11" max="11" width="6.42578125" style="16" customWidth="1"/>
    <col min="12" max="12" width="15.5703125" style="16" customWidth="1"/>
    <col min="13" max="13" width="3.5703125" style="16" customWidth="1"/>
    <col min="14" max="14" width="6.85546875" style="16" customWidth="1"/>
    <col min="15" max="15" width="16.42578125" style="16" customWidth="1"/>
    <col min="16" max="16" width="6.85546875" style="16" bestFit="1" customWidth="1"/>
    <col min="17" max="17" width="7.5703125" style="16" customWidth="1"/>
    <col min="18" max="18" width="15.42578125" style="16" customWidth="1"/>
    <col min="19" max="19" width="2.42578125" style="16" bestFit="1" customWidth="1"/>
    <col min="20" max="20" width="6" style="6" customWidth="1"/>
    <col min="21" max="21" width="12.85546875" style="6" customWidth="1"/>
    <col min="22" max="16384" width="9.140625" style="6"/>
  </cols>
  <sheetData>
    <row r="2" spans="2:25" ht="33.75" customHeight="1">
      <c r="B2" s="3" t="s">
        <v>0</v>
      </c>
      <c r="C2" s="4" t="s">
        <v>1</v>
      </c>
      <c r="D2" s="85" t="s">
        <v>121</v>
      </c>
      <c r="E2" s="85" t="s">
        <v>120</v>
      </c>
      <c r="F2" s="120" t="s">
        <v>2</v>
      </c>
      <c r="G2" s="121"/>
      <c r="H2" s="122"/>
      <c r="I2" s="120" t="s">
        <v>3</v>
      </c>
      <c r="J2" s="121"/>
      <c r="K2" s="122"/>
      <c r="L2" s="120" t="s">
        <v>4</v>
      </c>
      <c r="M2" s="121"/>
      <c r="N2" s="122"/>
      <c r="O2" s="120" t="s">
        <v>5</v>
      </c>
      <c r="P2" s="121"/>
      <c r="Q2" s="122"/>
      <c r="R2" s="124" t="s">
        <v>6</v>
      </c>
      <c r="S2" s="125"/>
      <c r="T2" s="125"/>
    </row>
    <row r="3" spans="2:25">
      <c r="B3" s="3"/>
      <c r="C3" s="7" t="s">
        <v>7</v>
      </c>
      <c r="D3" s="7" t="s">
        <v>7</v>
      </c>
      <c r="E3" s="7" t="s">
        <v>7</v>
      </c>
      <c r="F3" s="123" t="s">
        <v>7</v>
      </c>
      <c r="G3" s="121"/>
      <c r="H3" s="122"/>
      <c r="I3" s="123" t="s">
        <v>7</v>
      </c>
      <c r="J3" s="121"/>
      <c r="K3" s="122"/>
      <c r="L3" s="123" t="s">
        <v>7</v>
      </c>
      <c r="M3" s="121"/>
      <c r="N3" s="122"/>
      <c r="O3" s="123" t="s">
        <v>7</v>
      </c>
      <c r="P3" s="121"/>
      <c r="Q3" s="122"/>
      <c r="R3" s="126" t="s">
        <v>7</v>
      </c>
      <c r="S3" s="125"/>
      <c r="T3" s="125"/>
    </row>
    <row r="4" spans="2:25" ht="29.25" customHeight="1">
      <c r="B4" s="3"/>
      <c r="C4" s="17" t="s">
        <v>116</v>
      </c>
      <c r="D4" s="17" t="s">
        <v>116</v>
      </c>
      <c r="E4" s="17" t="s">
        <v>119</v>
      </c>
      <c r="F4" s="116" t="s">
        <v>8</v>
      </c>
      <c r="G4" s="5" t="s">
        <v>9</v>
      </c>
      <c r="H4" s="5" t="s">
        <v>115</v>
      </c>
      <c r="I4" s="116" t="s">
        <v>8</v>
      </c>
      <c r="J4" s="5" t="s">
        <v>9</v>
      </c>
      <c r="K4" s="5" t="s">
        <v>115</v>
      </c>
      <c r="L4" s="116" t="s">
        <v>8</v>
      </c>
      <c r="M4" s="5" t="s">
        <v>9</v>
      </c>
      <c r="N4" s="5" t="s">
        <v>115</v>
      </c>
      <c r="O4" s="116" t="s">
        <v>8</v>
      </c>
      <c r="P4" s="5" t="s">
        <v>9</v>
      </c>
      <c r="Q4" s="5" t="s">
        <v>115</v>
      </c>
      <c r="R4" s="116" t="s">
        <v>8</v>
      </c>
      <c r="S4" s="5" t="s">
        <v>9</v>
      </c>
      <c r="T4" s="5" t="s">
        <v>115</v>
      </c>
    </row>
    <row r="5" spans="2:25">
      <c r="B5" s="8" t="s">
        <v>10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  <c r="T5" s="10"/>
    </row>
    <row r="6" spans="2:25">
      <c r="B6" s="11" t="s">
        <v>11</v>
      </c>
      <c r="C6" s="12">
        <v>51200</v>
      </c>
      <c r="D6" s="12" t="s">
        <v>22</v>
      </c>
      <c r="E6" s="12" t="s">
        <v>22</v>
      </c>
      <c r="F6" s="116">
        <v>4200</v>
      </c>
      <c r="G6" s="7" t="s">
        <v>12</v>
      </c>
      <c r="H6" s="7">
        <v>9.9</v>
      </c>
      <c r="I6" s="116">
        <v>5000</v>
      </c>
      <c r="J6" s="7" t="s">
        <v>12</v>
      </c>
      <c r="K6" s="7">
        <v>9.8000000000000007</v>
      </c>
      <c r="L6" s="116">
        <v>920</v>
      </c>
      <c r="M6" s="7" t="s">
        <v>12</v>
      </c>
      <c r="N6" s="7">
        <v>7.6</v>
      </c>
      <c r="O6" s="116">
        <v>970</v>
      </c>
      <c r="P6" s="7" t="s">
        <v>13</v>
      </c>
      <c r="Q6" s="7">
        <v>9.6</v>
      </c>
      <c r="R6" s="117">
        <v>900</v>
      </c>
      <c r="S6" s="5"/>
      <c r="T6" s="70">
        <v>12</v>
      </c>
      <c r="U6" s="19"/>
      <c r="V6" s="13"/>
    </row>
    <row r="7" spans="2:25">
      <c r="B7" s="11" t="s">
        <v>14</v>
      </c>
      <c r="C7" s="12">
        <v>3.1</v>
      </c>
      <c r="D7" s="12">
        <v>0.27</v>
      </c>
      <c r="E7" s="12">
        <v>2</v>
      </c>
      <c r="F7" s="116" t="s">
        <v>15</v>
      </c>
      <c r="G7" s="7" t="s">
        <v>12</v>
      </c>
      <c r="H7" s="7">
        <v>1.9</v>
      </c>
      <c r="I7" s="116" t="s">
        <v>15</v>
      </c>
      <c r="J7" s="7" t="s">
        <v>12</v>
      </c>
      <c r="K7" s="7">
        <v>1.8</v>
      </c>
      <c r="L7" s="116" t="s">
        <v>15</v>
      </c>
      <c r="M7" s="7" t="s">
        <v>12</v>
      </c>
      <c r="N7" s="7">
        <v>1.4</v>
      </c>
      <c r="O7" s="116" t="s">
        <v>15</v>
      </c>
      <c r="P7" s="7" t="s">
        <v>12</v>
      </c>
      <c r="Q7" s="7">
        <v>1.8</v>
      </c>
      <c r="R7" s="116" t="s">
        <v>15</v>
      </c>
      <c r="S7" s="5"/>
      <c r="T7" s="70">
        <v>9.7000000000000003E-2</v>
      </c>
      <c r="U7" s="19"/>
      <c r="V7" s="13"/>
    </row>
    <row r="8" spans="2:25">
      <c r="B8" s="11" t="s">
        <v>16</v>
      </c>
      <c r="C8" s="12">
        <v>11</v>
      </c>
      <c r="D8" s="12">
        <v>46</v>
      </c>
      <c r="E8" s="12">
        <v>7.24</v>
      </c>
      <c r="F8" s="116">
        <v>1.6</v>
      </c>
      <c r="G8" s="7" t="s">
        <v>17</v>
      </c>
      <c r="H8" s="7">
        <v>1.5</v>
      </c>
      <c r="I8" s="116" t="s">
        <v>15</v>
      </c>
      <c r="J8" s="7" t="s">
        <v>12</v>
      </c>
      <c r="K8" s="7">
        <v>1.5</v>
      </c>
      <c r="L8" s="116" t="s">
        <v>15</v>
      </c>
      <c r="M8" s="7" t="s">
        <v>12</v>
      </c>
      <c r="N8" s="7">
        <v>1.2</v>
      </c>
      <c r="O8" s="116" t="s">
        <v>15</v>
      </c>
      <c r="P8" s="7" t="s">
        <v>12</v>
      </c>
      <c r="Q8" s="7">
        <v>1.5</v>
      </c>
      <c r="R8" s="117">
        <v>0.82</v>
      </c>
      <c r="S8" s="5"/>
      <c r="T8" s="70">
        <v>0.16</v>
      </c>
      <c r="U8" s="19"/>
      <c r="V8" s="13"/>
    </row>
    <row r="9" spans="2:25">
      <c r="B9" s="11" t="s">
        <v>18</v>
      </c>
      <c r="C9" s="12">
        <v>1500</v>
      </c>
      <c r="D9" s="12">
        <v>2000</v>
      </c>
      <c r="E9" s="12" t="s">
        <v>22</v>
      </c>
      <c r="F9" s="116">
        <v>11</v>
      </c>
      <c r="G9" s="7" t="s">
        <v>12</v>
      </c>
      <c r="H9" s="7">
        <v>0.17</v>
      </c>
      <c r="I9" s="116">
        <v>9.6</v>
      </c>
      <c r="J9" s="7" t="s">
        <v>12</v>
      </c>
      <c r="K9" s="7">
        <v>0.16</v>
      </c>
      <c r="L9" s="116">
        <v>4.2</v>
      </c>
      <c r="M9" s="7" t="s">
        <v>12</v>
      </c>
      <c r="N9" s="7">
        <v>0.13</v>
      </c>
      <c r="O9" s="116">
        <v>4.2</v>
      </c>
      <c r="P9" s="7" t="s">
        <v>12</v>
      </c>
      <c r="Q9" s="7">
        <v>0.16</v>
      </c>
      <c r="R9" s="117">
        <v>4.7</v>
      </c>
      <c r="S9" s="5"/>
      <c r="T9" s="70">
        <v>0.22</v>
      </c>
      <c r="U9" s="19"/>
      <c r="V9" s="13"/>
      <c r="W9" s="14"/>
      <c r="X9" s="14"/>
      <c r="Y9" s="14"/>
    </row>
    <row r="10" spans="2:25">
      <c r="B10" s="11" t="s">
        <v>19</v>
      </c>
      <c r="C10" s="12">
        <v>16</v>
      </c>
      <c r="D10" s="12">
        <v>21</v>
      </c>
      <c r="E10" s="12" t="s">
        <v>22</v>
      </c>
      <c r="F10" s="116">
        <v>0.14000000000000001</v>
      </c>
      <c r="G10" s="7" t="s">
        <v>17</v>
      </c>
      <c r="H10" s="7">
        <v>0.11</v>
      </c>
      <c r="I10" s="116">
        <v>0.12</v>
      </c>
      <c r="J10" s="7" t="s">
        <v>17</v>
      </c>
      <c r="K10" s="7">
        <v>0.11</v>
      </c>
      <c r="L10" s="116" t="s">
        <v>15</v>
      </c>
      <c r="M10" s="7" t="s">
        <v>12</v>
      </c>
      <c r="N10" s="7">
        <v>8.5000000000000006E-2</v>
      </c>
      <c r="O10" s="116" t="s">
        <v>15</v>
      </c>
      <c r="P10" s="7" t="s">
        <v>12</v>
      </c>
      <c r="Q10" s="7">
        <v>0.11</v>
      </c>
      <c r="R10" s="117">
        <v>3.5000000000000003E-2</v>
      </c>
      <c r="S10" s="5" t="s">
        <v>17</v>
      </c>
      <c r="T10" s="70">
        <v>2.9000000000000001E-2</v>
      </c>
      <c r="U10" s="19"/>
      <c r="V10" s="13"/>
    </row>
    <row r="11" spans="2:25">
      <c r="B11" s="11" t="s">
        <v>20</v>
      </c>
      <c r="C11" s="12">
        <v>0.71</v>
      </c>
      <c r="D11" s="12">
        <v>0.36</v>
      </c>
      <c r="E11" s="12">
        <v>0.68</v>
      </c>
      <c r="F11" s="116" t="s">
        <v>15</v>
      </c>
      <c r="G11" s="7" t="s">
        <v>12</v>
      </c>
      <c r="H11" s="7">
        <v>0.11</v>
      </c>
      <c r="I11" s="116" t="s">
        <v>15</v>
      </c>
      <c r="J11" s="7" t="s">
        <v>12</v>
      </c>
      <c r="K11" s="7">
        <v>0.11</v>
      </c>
      <c r="L11" s="116" t="s">
        <v>15</v>
      </c>
      <c r="M11" s="7" t="s">
        <v>12</v>
      </c>
      <c r="N11" s="7">
        <v>8.5000000000000006E-2</v>
      </c>
      <c r="O11" s="116" t="s">
        <v>15</v>
      </c>
      <c r="P11" s="7" t="s">
        <v>12</v>
      </c>
      <c r="Q11" s="7">
        <v>0.11</v>
      </c>
      <c r="R11" s="116" t="s">
        <v>15</v>
      </c>
      <c r="S11" s="5"/>
      <c r="T11" s="70">
        <v>4.9000000000000002E-2</v>
      </c>
      <c r="U11" s="19"/>
      <c r="V11" s="13"/>
    </row>
    <row r="12" spans="2:25">
      <c r="B12" s="11" t="s">
        <v>21</v>
      </c>
      <c r="C12" s="12" t="s">
        <v>22</v>
      </c>
      <c r="D12" s="12" t="s">
        <v>22</v>
      </c>
      <c r="E12" s="12" t="s">
        <v>22</v>
      </c>
      <c r="F12" s="116">
        <v>2300</v>
      </c>
      <c r="G12" s="7" t="s">
        <v>12</v>
      </c>
      <c r="H12" s="7">
        <v>23</v>
      </c>
      <c r="I12" s="116">
        <v>5300</v>
      </c>
      <c r="J12" s="7" t="s">
        <v>12</v>
      </c>
      <c r="K12" s="7">
        <v>23</v>
      </c>
      <c r="L12" s="116">
        <v>1100</v>
      </c>
      <c r="M12" s="7" t="s">
        <v>12</v>
      </c>
      <c r="N12" s="7">
        <v>18</v>
      </c>
      <c r="O12" s="116">
        <v>3900</v>
      </c>
      <c r="P12" s="7" t="s">
        <v>12</v>
      </c>
      <c r="Q12" s="7">
        <v>22</v>
      </c>
      <c r="R12" s="117">
        <v>1400</v>
      </c>
      <c r="S12" s="5"/>
      <c r="T12" s="70">
        <v>24</v>
      </c>
      <c r="U12" s="19"/>
      <c r="V12" s="13"/>
    </row>
    <row r="13" spans="2:25">
      <c r="B13" s="11" t="s">
        <v>23</v>
      </c>
      <c r="C13" s="12">
        <v>214</v>
      </c>
      <c r="D13" s="12">
        <v>63</v>
      </c>
      <c r="E13" s="12">
        <v>52.3</v>
      </c>
      <c r="F13" s="116">
        <v>7.8</v>
      </c>
      <c r="G13" s="7" t="s">
        <v>12</v>
      </c>
      <c r="H13" s="7">
        <v>0.66</v>
      </c>
      <c r="I13" s="116">
        <v>6.5</v>
      </c>
      <c r="J13" s="7" t="s">
        <v>12</v>
      </c>
      <c r="K13" s="7">
        <v>0.65</v>
      </c>
      <c r="L13" s="116">
        <v>1.5</v>
      </c>
      <c r="M13" s="7" t="s">
        <v>12</v>
      </c>
      <c r="N13" s="7">
        <v>0.51</v>
      </c>
      <c r="O13" s="116">
        <v>1.8</v>
      </c>
      <c r="P13" s="7" t="s">
        <v>12</v>
      </c>
      <c r="Q13" s="7">
        <v>0.64</v>
      </c>
      <c r="R13" s="117">
        <v>1.1000000000000001</v>
      </c>
      <c r="S13" s="5"/>
      <c r="T13" s="70">
        <v>0.23</v>
      </c>
      <c r="U13" s="19"/>
      <c r="V13" s="13"/>
    </row>
    <row r="14" spans="2:25">
      <c r="B14" s="11" t="s">
        <v>24</v>
      </c>
      <c r="C14" s="12">
        <v>34</v>
      </c>
      <c r="D14" s="12">
        <v>230</v>
      </c>
      <c r="E14" s="12" t="s">
        <v>22</v>
      </c>
      <c r="F14" s="116">
        <v>1.6</v>
      </c>
      <c r="G14" s="7" t="s">
        <v>12</v>
      </c>
      <c r="H14" s="7">
        <v>0.16</v>
      </c>
      <c r="I14" s="116">
        <v>1.4</v>
      </c>
      <c r="J14" s="7" t="s">
        <v>12</v>
      </c>
      <c r="K14" s="7">
        <v>0.16</v>
      </c>
      <c r="L14" s="116">
        <v>0.24</v>
      </c>
      <c r="M14" s="7" t="s">
        <v>17</v>
      </c>
      <c r="N14" s="7">
        <v>0.12</v>
      </c>
      <c r="O14" s="116">
        <v>0.28000000000000003</v>
      </c>
      <c r="P14" s="7" t="s">
        <v>17</v>
      </c>
      <c r="Q14" s="7">
        <v>0.16</v>
      </c>
      <c r="R14" s="117">
        <v>0.32</v>
      </c>
      <c r="S14" s="5"/>
      <c r="T14" s="70">
        <v>9.7000000000000003E-2</v>
      </c>
      <c r="U14" s="19"/>
      <c r="V14" s="13"/>
    </row>
    <row r="15" spans="2:25">
      <c r="B15" s="11" t="s">
        <v>25</v>
      </c>
      <c r="C15" s="12">
        <v>310</v>
      </c>
      <c r="D15" s="12">
        <v>49</v>
      </c>
      <c r="E15" s="12">
        <v>18.7</v>
      </c>
      <c r="F15" s="116">
        <v>2</v>
      </c>
      <c r="G15" s="7" t="s">
        <v>17</v>
      </c>
      <c r="H15" s="7">
        <v>0.85</v>
      </c>
      <c r="I15" s="116">
        <v>1.7</v>
      </c>
      <c r="J15" s="7" t="s">
        <v>17</v>
      </c>
      <c r="K15" s="7">
        <v>0.84</v>
      </c>
      <c r="L15" s="116" t="s">
        <v>15</v>
      </c>
      <c r="M15" s="7" t="s">
        <v>12</v>
      </c>
      <c r="N15" s="7">
        <v>0.65</v>
      </c>
      <c r="O15" s="116" t="s">
        <v>15</v>
      </c>
      <c r="P15" s="7" t="s">
        <v>12</v>
      </c>
      <c r="Q15" s="7">
        <v>0.82</v>
      </c>
      <c r="R15" s="116" t="s">
        <v>15</v>
      </c>
      <c r="S15" s="5"/>
      <c r="T15" s="70">
        <v>0.22</v>
      </c>
      <c r="U15" s="19"/>
      <c r="V15" s="13"/>
    </row>
    <row r="16" spans="2:25">
      <c r="B16" s="11" t="s">
        <v>26</v>
      </c>
      <c r="C16" s="12">
        <v>74767</v>
      </c>
      <c r="D16" s="12" t="s">
        <v>22</v>
      </c>
      <c r="E16" s="12" t="s">
        <v>22</v>
      </c>
      <c r="F16" s="116">
        <v>4800</v>
      </c>
      <c r="G16" s="7" t="s">
        <v>12</v>
      </c>
      <c r="H16" s="7">
        <v>8.8000000000000007</v>
      </c>
      <c r="I16" s="116">
        <v>4000</v>
      </c>
      <c r="J16" s="7" t="s">
        <v>12</v>
      </c>
      <c r="K16" s="7">
        <v>8.6999999999999993</v>
      </c>
      <c r="L16" s="116">
        <v>600</v>
      </c>
      <c r="M16" s="7" t="s">
        <v>12</v>
      </c>
      <c r="N16" s="7">
        <v>6.8</v>
      </c>
      <c r="O16" s="116">
        <v>690</v>
      </c>
      <c r="P16" s="7" t="s">
        <v>13</v>
      </c>
      <c r="Q16" s="7">
        <v>8.6</v>
      </c>
      <c r="R16" s="117">
        <v>630</v>
      </c>
      <c r="S16" s="5"/>
      <c r="T16" s="70">
        <v>11</v>
      </c>
      <c r="U16" s="19"/>
      <c r="V16" s="13"/>
    </row>
    <row r="17" spans="2:22">
      <c r="B17" s="11" t="s">
        <v>27</v>
      </c>
      <c r="C17" s="12">
        <v>400</v>
      </c>
      <c r="D17" s="12">
        <v>56</v>
      </c>
      <c r="E17" s="12">
        <v>30.2</v>
      </c>
      <c r="F17" s="116">
        <v>1.9</v>
      </c>
      <c r="G17" s="7" t="s">
        <v>12</v>
      </c>
      <c r="H17" s="7">
        <v>0.66</v>
      </c>
      <c r="I17" s="116">
        <v>1.7</v>
      </c>
      <c r="J17" s="7" t="s">
        <v>12</v>
      </c>
      <c r="K17" s="7">
        <v>0.65</v>
      </c>
      <c r="L17" s="116">
        <v>0.57999999999999996</v>
      </c>
      <c r="M17" s="7" t="s">
        <v>17</v>
      </c>
      <c r="N17" s="7">
        <v>0.51</v>
      </c>
      <c r="O17" s="116">
        <v>0.7</v>
      </c>
      <c r="P17" s="7" t="s">
        <v>28</v>
      </c>
      <c r="Q17" s="7">
        <v>0.64</v>
      </c>
      <c r="R17" s="117">
        <v>0.79</v>
      </c>
      <c r="S17" s="5"/>
      <c r="T17" s="70">
        <v>9.1999999999999998E-2</v>
      </c>
      <c r="U17" s="19"/>
      <c r="V17" s="13"/>
    </row>
    <row r="18" spans="2:22">
      <c r="B18" s="11" t="s">
        <v>29</v>
      </c>
      <c r="C18" s="12" t="s">
        <v>22</v>
      </c>
      <c r="D18" s="12" t="s">
        <v>22</v>
      </c>
      <c r="E18" s="12" t="s">
        <v>22</v>
      </c>
      <c r="F18" s="116">
        <v>1500</v>
      </c>
      <c r="G18" s="7" t="s">
        <v>12</v>
      </c>
      <c r="H18" s="7">
        <v>4.4000000000000004</v>
      </c>
      <c r="I18" s="116">
        <v>1300</v>
      </c>
      <c r="J18" s="7" t="s">
        <v>12</v>
      </c>
      <c r="K18" s="7">
        <v>4.3</v>
      </c>
      <c r="L18" s="116">
        <v>280</v>
      </c>
      <c r="M18" s="7" t="s">
        <v>12</v>
      </c>
      <c r="N18" s="7">
        <v>3.4</v>
      </c>
      <c r="O18" s="116">
        <v>290</v>
      </c>
      <c r="P18" s="7" t="s">
        <v>12</v>
      </c>
      <c r="Q18" s="7">
        <v>4.3</v>
      </c>
      <c r="R18" s="117">
        <v>260</v>
      </c>
      <c r="S18" s="5"/>
      <c r="T18" s="70">
        <v>5.9</v>
      </c>
      <c r="U18" s="19"/>
      <c r="V18" s="13"/>
    </row>
    <row r="19" spans="2:22">
      <c r="B19" s="11" t="s">
        <v>30</v>
      </c>
      <c r="C19" s="12">
        <v>2100</v>
      </c>
      <c r="D19" s="12">
        <v>4000</v>
      </c>
      <c r="E19" s="12" t="s">
        <v>22</v>
      </c>
      <c r="F19" s="116">
        <v>56</v>
      </c>
      <c r="G19" s="7" t="s">
        <v>12</v>
      </c>
      <c r="H19" s="7">
        <v>0.44</v>
      </c>
      <c r="I19" s="116">
        <v>54</v>
      </c>
      <c r="J19" s="7" t="s">
        <v>12</v>
      </c>
      <c r="K19" s="7">
        <v>0.43</v>
      </c>
      <c r="L19" s="116">
        <v>6.4</v>
      </c>
      <c r="M19" s="7" t="s">
        <v>12</v>
      </c>
      <c r="N19" s="7">
        <v>0.34</v>
      </c>
      <c r="O19" s="116">
        <v>6.2</v>
      </c>
      <c r="P19" s="7" t="s">
        <v>12</v>
      </c>
      <c r="Q19" s="7">
        <v>0.43</v>
      </c>
      <c r="R19" s="117">
        <v>8.8000000000000007</v>
      </c>
      <c r="S19" s="5"/>
      <c r="T19" s="70">
        <v>0.24</v>
      </c>
      <c r="U19" s="19"/>
      <c r="V19" s="13"/>
    </row>
    <row r="20" spans="2:22">
      <c r="B20" s="11" t="s">
        <v>31</v>
      </c>
      <c r="C20" s="12">
        <v>150</v>
      </c>
      <c r="D20" s="12">
        <v>130</v>
      </c>
      <c r="E20" s="12">
        <v>15.9</v>
      </c>
      <c r="F20" s="116">
        <v>4</v>
      </c>
      <c r="G20" s="7" t="s">
        <v>12</v>
      </c>
      <c r="H20" s="7">
        <v>0.44</v>
      </c>
      <c r="I20" s="116">
        <v>3.4</v>
      </c>
      <c r="J20" s="7" t="s">
        <v>12</v>
      </c>
      <c r="K20" s="7">
        <v>0.43</v>
      </c>
      <c r="L20" s="116">
        <v>0.75</v>
      </c>
      <c r="M20" s="7" t="s">
        <v>17</v>
      </c>
      <c r="N20" s="7">
        <v>0.34</v>
      </c>
      <c r="O20" s="116">
        <v>0.89</v>
      </c>
      <c r="P20" s="7" t="s">
        <v>17</v>
      </c>
      <c r="Q20" s="7">
        <v>0.43</v>
      </c>
      <c r="R20" s="117">
        <v>0.5</v>
      </c>
      <c r="S20" s="5"/>
      <c r="T20" s="70">
        <v>0.23</v>
      </c>
      <c r="U20" s="19"/>
      <c r="V20" s="13"/>
    </row>
    <row r="21" spans="2:22">
      <c r="B21" s="11" t="s">
        <v>32</v>
      </c>
      <c r="C21" s="12" t="s">
        <v>22</v>
      </c>
      <c r="D21" s="12" t="s">
        <v>22</v>
      </c>
      <c r="E21" s="12" t="s">
        <v>22</v>
      </c>
      <c r="F21" s="116">
        <v>940</v>
      </c>
      <c r="G21" s="7" t="s">
        <v>12</v>
      </c>
      <c r="H21" s="7">
        <v>39</v>
      </c>
      <c r="I21" s="116">
        <v>730</v>
      </c>
      <c r="J21" s="7" t="s">
        <v>12</v>
      </c>
      <c r="K21" s="7">
        <v>38</v>
      </c>
      <c r="L21" s="116">
        <v>200</v>
      </c>
      <c r="M21" s="7" t="s">
        <v>12</v>
      </c>
      <c r="N21" s="7">
        <v>30</v>
      </c>
      <c r="O21" s="116">
        <v>220</v>
      </c>
      <c r="P21" s="7" t="s">
        <v>13</v>
      </c>
      <c r="Q21" s="7">
        <v>37</v>
      </c>
      <c r="R21" s="117">
        <v>210</v>
      </c>
      <c r="S21" s="5"/>
      <c r="T21" s="70">
        <v>19</v>
      </c>
      <c r="U21" s="19"/>
      <c r="V21" s="13"/>
    </row>
    <row r="22" spans="2:22">
      <c r="B22" s="11" t="s">
        <v>33</v>
      </c>
      <c r="C22" s="12">
        <v>39</v>
      </c>
      <c r="D22" s="12">
        <v>0.63</v>
      </c>
      <c r="E22" s="12" t="s">
        <v>22</v>
      </c>
      <c r="F22" s="116" t="s">
        <v>15</v>
      </c>
      <c r="G22" s="7" t="s">
        <v>12</v>
      </c>
      <c r="H22" s="7">
        <v>1.7</v>
      </c>
      <c r="I22" s="116" t="s">
        <v>15</v>
      </c>
      <c r="J22" s="7" t="s">
        <v>12</v>
      </c>
      <c r="K22" s="7">
        <v>1.6</v>
      </c>
      <c r="L22" s="116" t="s">
        <v>15</v>
      </c>
      <c r="M22" s="7" t="s">
        <v>12</v>
      </c>
      <c r="N22" s="7">
        <v>1.3</v>
      </c>
      <c r="O22" s="116" t="s">
        <v>15</v>
      </c>
      <c r="P22" s="7" t="s">
        <v>12</v>
      </c>
      <c r="Q22" s="7">
        <v>1.6</v>
      </c>
      <c r="R22" s="116" t="s">
        <v>15</v>
      </c>
      <c r="S22" s="5"/>
      <c r="T22" s="70">
        <v>0.12</v>
      </c>
      <c r="U22" s="19"/>
      <c r="V22" s="13"/>
    </row>
    <row r="23" spans="2:22">
      <c r="B23" s="11" t="s">
        <v>34</v>
      </c>
      <c r="C23" s="12">
        <v>39</v>
      </c>
      <c r="D23" s="12">
        <v>14</v>
      </c>
      <c r="E23" s="12">
        <v>0.73</v>
      </c>
      <c r="F23" s="116" t="s">
        <v>15</v>
      </c>
      <c r="G23" s="7" t="s">
        <v>12</v>
      </c>
      <c r="H23" s="7">
        <v>0.44</v>
      </c>
      <c r="I23" s="116" t="s">
        <v>15</v>
      </c>
      <c r="J23" s="7" t="s">
        <v>12</v>
      </c>
      <c r="K23" s="7">
        <v>0.43</v>
      </c>
      <c r="L23" s="116" t="s">
        <v>15</v>
      </c>
      <c r="M23" s="7" t="s">
        <v>12</v>
      </c>
      <c r="N23" s="7">
        <v>0.34</v>
      </c>
      <c r="O23" s="116" t="s">
        <v>15</v>
      </c>
      <c r="P23" s="7" t="s">
        <v>12</v>
      </c>
      <c r="Q23" s="7">
        <v>0.43</v>
      </c>
      <c r="R23" s="116" t="s">
        <v>15</v>
      </c>
      <c r="S23" s="5"/>
      <c r="T23" s="70">
        <v>4.9000000000000002E-2</v>
      </c>
      <c r="U23" s="19"/>
      <c r="V23" s="13"/>
    </row>
    <row r="24" spans="2:22">
      <c r="B24" s="11" t="s">
        <v>35</v>
      </c>
      <c r="C24" s="12" t="s">
        <v>22</v>
      </c>
      <c r="D24" s="12" t="s">
        <v>22</v>
      </c>
      <c r="E24" s="12" t="s">
        <v>22</v>
      </c>
      <c r="F24" s="116">
        <v>2600</v>
      </c>
      <c r="G24" s="7" t="s">
        <v>12</v>
      </c>
      <c r="H24" s="7">
        <v>44</v>
      </c>
      <c r="I24" s="116">
        <v>2500</v>
      </c>
      <c r="J24" s="7" t="s">
        <v>12</v>
      </c>
      <c r="K24" s="7">
        <v>43</v>
      </c>
      <c r="L24" s="116">
        <v>1800</v>
      </c>
      <c r="M24" s="7" t="s">
        <v>12</v>
      </c>
      <c r="N24" s="7">
        <v>34</v>
      </c>
      <c r="O24" s="116">
        <v>1700</v>
      </c>
      <c r="P24" s="7" t="s">
        <v>36</v>
      </c>
      <c r="Q24" s="7">
        <v>43</v>
      </c>
      <c r="R24" s="117">
        <v>1500</v>
      </c>
      <c r="S24" s="5"/>
      <c r="T24" s="70">
        <v>29</v>
      </c>
      <c r="U24" s="19"/>
      <c r="V24" s="13"/>
    </row>
    <row r="25" spans="2:22">
      <c r="B25" s="11" t="s">
        <v>37</v>
      </c>
      <c r="C25" s="12">
        <v>7.8E-2</v>
      </c>
      <c r="D25" s="12">
        <v>0.42</v>
      </c>
      <c r="E25" s="12" t="s">
        <v>22</v>
      </c>
      <c r="F25" s="116" t="s">
        <v>15</v>
      </c>
      <c r="G25" s="7" t="s">
        <v>12</v>
      </c>
      <c r="H25" s="7">
        <v>1.4</v>
      </c>
      <c r="I25" s="116" t="s">
        <v>15</v>
      </c>
      <c r="J25" s="7" t="s">
        <v>12</v>
      </c>
      <c r="K25" s="7">
        <v>1.4</v>
      </c>
      <c r="L25" s="116" t="s">
        <v>15</v>
      </c>
      <c r="M25" s="7" t="s">
        <v>12</v>
      </c>
      <c r="N25" s="7">
        <v>1.1000000000000001</v>
      </c>
      <c r="O25" s="116" t="s">
        <v>15</v>
      </c>
      <c r="P25" s="7" t="s">
        <v>12</v>
      </c>
      <c r="Q25" s="7">
        <v>1.4</v>
      </c>
      <c r="R25" s="116" t="s">
        <v>15</v>
      </c>
      <c r="S25" s="5"/>
      <c r="T25" s="70">
        <v>4.8000000000000001E-2</v>
      </c>
      <c r="U25" s="19"/>
      <c r="V25" s="13"/>
    </row>
    <row r="26" spans="2:22">
      <c r="B26" s="11" t="s">
        <v>38</v>
      </c>
      <c r="C26" s="12">
        <v>134</v>
      </c>
      <c r="D26" s="12">
        <v>280</v>
      </c>
      <c r="E26" s="12" t="s">
        <v>22</v>
      </c>
      <c r="F26" s="116">
        <v>8.9</v>
      </c>
      <c r="G26" s="7" t="s">
        <v>12</v>
      </c>
      <c r="H26" s="7">
        <v>0.47</v>
      </c>
      <c r="I26" s="116">
        <v>7.4</v>
      </c>
      <c r="J26" s="7" t="s">
        <v>12</v>
      </c>
      <c r="K26" s="7">
        <v>0.47</v>
      </c>
      <c r="L26" s="116">
        <v>1.8</v>
      </c>
      <c r="M26" s="7" t="s">
        <v>12</v>
      </c>
      <c r="N26" s="7">
        <v>0.36</v>
      </c>
      <c r="O26" s="116">
        <v>2</v>
      </c>
      <c r="P26" s="7" t="s">
        <v>12</v>
      </c>
      <c r="Q26" s="7">
        <v>0.46</v>
      </c>
      <c r="R26" s="117">
        <v>1.7</v>
      </c>
      <c r="S26" s="5"/>
      <c r="T26" s="70">
        <v>0.24</v>
      </c>
      <c r="U26" s="19"/>
      <c r="V26" s="13"/>
    </row>
    <row r="27" spans="2:22">
      <c r="B27" s="11" t="s">
        <v>39</v>
      </c>
      <c r="C27" s="12">
        <v>2300</v>
      </c>
      <c r="D27" s="12">
        <v>79</v>
      </c>
      <c r="E27" s="12">
        <v>124</v>
      </c>
      <c r="F27" s="116">
        <v>10</v>
      </c>
      <c r="G27" s="7" t="s">
        <v>12</v>
      </c>
      <c r="H27" s="7">
        <v>0.88</v>
      </c>
      <c r="I27" s="116">
        <v>8.1</v>
      </c>
      <c r="J27" s="7" t="s">
        <v>12</v>
      </c>
      <c r="K27" s="7">
        <v>8.6999999999999993</v>
      </c>
      <c r="L27" s="116">
        <v>1.7</v>
      </c>
      <c r="M27" s="7" t="s">
        <v>12</v>
      </c>
      <c r="N27" s="7">
        <v>0.68</v>
      </c>
      <c r="O27" s="116">
        <v>2.4</v>
      </c>
      <c r="P27" s="7" t="s">
        <v>36</v>
      </c>
      <c r="Q27" s="7">
        <v>0.86</v>
      </c>
      <c r="R27" s="116" t="s">
        <v>15</v>
      </c>
      <c r="S27" s="5"/>
      <c r="T27" s="70">
        <v>4.9000000000000004</v>
      </c>
      <c r="U27" s="19"/>
      <c r="V27" s="13"/>
    </row>
    <row r="28" spans="2:22"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</row>
    <row r="29" spans="2:22" ht="15.75" customHeight="1">
      <c r="B29" s="8" t="s">
        <v>40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10"/>
    </row>
    <row r="30" spans="2:22">
      <c r="B30" s="11" t="s">
        <v>41</v>
      </c>
      <c r="C30" s="17">
        <v>1.1000000000000001</v>
      </c>
      <c r="D30" s="17">
        <v>1.7</v>
      </c>
      <c r="E30" s="17">
        <v>0.13</v>
      </c>
      <c r="F30" s="116" t="s">
        <v>15</v>
      </c>
      <c r="G30" s="7"/>
      <c r="H30" s="5">
        <v>2.1999999999999999E-2</v>
      </c>
      <c r="I30" s="116" t="s">
        <v>15</v>
      </c>
      <c r="J30" s="5"/>
      <c r="K30" s="5">
        <v>2.3E-2</v>
      </c>
      <c r="L30" s="116" t="s">
        <v>15</v>
      </c>
      <c r="M30" s="7"/>
      <c r="N30" s="5">
        <v>2.3E-2</v>
      </c>
      <c r="O30" s="116" t="s">
        <v>15</v>
      </c>
      <c r="P30" s="7"/>
      <c r="Q30" s="5">
        <v>2.3E-2</v>
      </c>
      <c r="R30" s="117" t="s">
        <v>15</v>
      </c>
      <c r="S30" s="5"/>
      <c r="T30" s="5">
        <v>2.4E-2</v>
      </c>
    </row>
    <row r="31" spans="2:22">
      <c r="V31" s="13"/>
    </row>
    <row r="32" spans="2:22">
      <c r="B32" s="20" t="s">
        <v>42</v>
      </c>
    </row>
    <row r="33" spans="2:18">
      <c r="B33" s="20" t="s">
        <v>113</v>
      </c>
    </row>
    <row r="34" spans="2:18">
      <c r="B34" s="18" t="s">
        <v>114</v>
      </c>
    </row>
    <row r="35" spans="2:18">
      <c r="B35" s="15" t="s">
        <v>43</v>
      </c>
    </row>
    <row r="36" spans="2:18">
      <c r="B36" s="15" t="s">
        <v>44</v>
      </c>
    </row>
    <row r="38" spans="2:18">
      <c r="R38" s="16" t="s">
        <v>117</v>
      </c>
    </row>
  </sheetData>
  <mergeCells count="10">
    <mergeCell ref="F2:H2"/>
    <mergeCell ref="F3:H3"/>
    <mergeCell ref="I2:K2"/>
    <mergeCell ref="I3:K3"/>
    <mergeCell ref="R2:T2"/>
    <mergeCell ref="R3:T3"/>
    <mergeCell ref="L2:N2"/>
    <mergeCell ref="L3:N3"/>
    <mergeCell ref="O3:Q3"/>
    <mergeCell ref="O2:Q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7038-6154-4D32-8EC7-18C2FD4F5DD4}">
  <dimension ref="A1:V11"/>
  <sheetViews>
    <sheetView workbookViewId="0">
      <selection activeCell="C4" sqref="C4"/>
    </sheetView>
  </sheetViews>
  <sheetFormatPr defaultRowHeight="15"/>
  <cols>
    <col min="1" max="1" width="20.140625" customWidth="1"/>
    <col min="2" max="2" width="9.5703125" bestFit="1" customWidth="1"/>
    <col min="4" max="4" width="10" bestFit="1" customWidth="1"/>
    <col min="7" max="7" width="10" bestFit="1" customWidth="1"/>
    <col min="8" max="8" width="10.85546875" customWidth="1"/>
    <col min="11" max="11" width="11.28515625" bestFit="1" customWidth="1"/>
    <col min="16" max="16" width="11.28515625" bestFit="1" customWidth="1"/>
    <col min="17" max="17" width="11" customWidth="1"/>
  </cols>
  <sheetData>
    <row r="1" spans="1:22" ht="15.75">
      <c r="A1" s="33" t="s">
        <v>105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2" ht="41.25">
      <c r="A3" s="35" t="s">
        <v>48</v>
      </c>
      <c r="B3" s="36" t="s">
        <v>27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57">
        <v>1.9</v>
      </c>
      <c r="C6" s="119">
        <v>7.4999999999999997E-2</v>
      </c>
      <c r="D6" s="47">
        <v>4.5999999999999996</v>
      </c>
      <c r="E6" s="48">
        <f>B6/10^D6</f>
        <v>4.7725842198681998E-5</v>
      </c>
      <c r="F6" s="48">
        <f>E6*1000</f>
        <v>4.7725842198681999E-2</v>
      </c>
      <c r="G6" s="49">
        <v>4.9000000000000004</v>
      </c>
      <c r="H6" s="47">
        <v>3.5</v>
      </c>
      <c r="I6" s="47">
        <v>17.5</v>
      </c>
      <c r="J6" s="48">
        <f>F6/(1+(I6/1000^2)*(10^G6))</f>
        <v>1.9968349932400813E-2</v>
      </c>
      <c r="K6" s="48">
        <f>F6-J6</f>
        <v>2.7757492266281186E-2</v>
      </c>
      <c r="L6" s="50">
        <f>J6*100/F6</f>
        <v>41.839701537948471</v>
      </c>
      <c r="M6" s="50">
        <f>K6*100/F6</f>
        <v>58.160298462051529</v>
      </c>
      <c r="N6" s="47">
        <v>25</v>
      </c>
      <c r="O6" s="47" t="str">
        <f>IF(N6&lt;5,"F","M")</f>
        <v>M</v>
      </c>
      <c r="P6" s="47">
        <v>100</v>
      </c>
      <c r="Q6" s="49">
        <f>(1.46203-LN(P6)*0.145712)*EXP(1.273*LN(P6)-1.46)</f>
        <v>64.581381577788449</v>
      </c>
      <c r="R6" s="49">
        <f>(1.46203-LN(P6)*0.145712)*EXP(1.273*LN(P6)-4.705)</f>
        <v>2.5166437242964461</v>
      </c>
      <c r="S6" s="58">
        <v>210</v>
      </c>
      <c r="T6" s="49">
        <v>8.1</v>
      </c>
      <c r="U6" s="84">
        <f>IF(O6="F",J6/Q6,J6/S6)</f>
        <v>9.5087380630480062E-5</v>
      </c>
      <c r="V6" s="59">
        <f>IF(O6="F",J6/R6,J6/T6)</f>
        <v>2.4652283867161499E-3</v>
      </c>
    </row>
    <row r="7" spans="1:22">
      <c r="A7" s="73" t="s">
        <v>3</v>
      </c>
      <c r="B7" s="60">
        <v>1.7</v>
      </c>
      <c r="C7" s="119">
        <v>7.4999999999999997E-2</v>
      </c>
      <c r="D7" s="52">
        <v>4.5999999999999996</v>
      </c>
      <c r="E7" s="53">
        <f>B7/10^D7</f>
        <v>4.2702069335662841E-5</v>
      </c>
      <c r="F7" s="53">
        <f>E7*1000</f>
        <v>4.270206933566284E-2</v>
      </c>
      <c r="G7" s="54">
        <v>4.9000000000000004</v>
      </c>
      <c r="H7" s="52">
        <v>3.5</v>
      </c>
      <c r="I7" s="52">
        <v>17.5</v>
      </c>
      <c r="J7" s="53">
        <f>F7/(1+(I7/1000^2)*(10^G7))</f>
        <v>1.7866418360569146E-2</v>
      </c>
      <c r="K7" s="53">
        <f>F7-J7</f>
        <v>2.4835650975093694E-2</v>
      </c>
      <c r="L7" s="55">
        <f>J7*100/F7</f>
        <v>41.839701537948464</v>
      </c>
      <c r="M7" s="55">
        <f>K7*100/F7</f>
        <v>58.160298462051536</v>
      </c>
      <c r="N7" s="52">
        <v>25</v>
      </c>
      <c r="O7" s="52" t="str">
        <f>IF(N7&lt;5,"F","M")</f>
        <v>M</v>
      </c>
      <c r="P7" s="52">
        <v>100</v>
      </c>
      <c r="Q7" s="49">
        <f>(1.46203-LN(P7)*0.145712)*EXP(1.273*LN(P7)-1.46)</f>
        <v>64.581381577788449</v>
      </c>
      <c r="R7" s="49">
        <f>(1.46203-LN(P7)*0.145712)*EXP(1.273*LN(P7)-4.705)</f>
        <v>2.5166437242964461</v>
      </c>
      <c r="S7" s="61">
        <v>210</v>
      </c>
      <c r="T7" s="54">
        <v>8.1</v>
      </c>
      <c r="U7" s="83">
        <f>IF(O7="F",J7/Q7,J7/S7)</f>
        <v>8.5078182669376886E-5</v>
      </c>
      <c r="V7" s="62">
        <f>IF(O7="F",J7/R7,J7/T7)</f>
        <v>2.2057306617986601E-3</v>
      </c>
    </row>
    <row r="8" spans="1:22">
      <c r="A8" s="71" t="s">
        <v>4</v>
      </c>
      <c r="B8" s="52">
        <v>0.57999999999999996</v>
      </c>
      <c r="C8" s="119">
        <v>7.4999999999999997E-2</v>
      </c>
      <c r="D8" s="52">
        <v>4.5999999999999996</v>
      </c>
      <c r="E8" s="53">
        <f>B8/10^D8</f>
        <v>1.4568941302755558E-5</v>
      </c>
      <c r="F8" s="53">
        <f>E8*1000</f>
        <v>1.4568941302755559E-2</v>
      </c>
      <c r="G8" s="54">
        <v>4.9000000000000004</v>
      </c>
      <c r="H8" s="52">
        <v>3.5</v>
      </c>
      <c r="I8" s="52">
        <v>17.5</v>
      </c>
      <c r="J8" s="53">
        <f>F8/(1+(I8/1000^2)*(10^G8))</f>
        <v>6.0956015583118273E-3</v>
      </c>
      <c r="K8" s="53">
        <f>F8-J8</f>
        <v>8.4733397444437322E-3</v>
      </c>
      <c r="L8" s="55">
        <f>J8*100/F8</f>
        <v>41.839701537948471</v>
      </c>
      <c r="M8" s="55">
        <f>K8*100/F8</f>
        <v>58.160298462051536</v>
      </c>
      <c r="N8" s="52">
        <v>25</v>
      </c>
      <c r="O8" s="52" t="str">
        <f>IF(N8&lt;5,"F","M")</f>
        <v>M</v>
      </c>
      <c r="P8" s="52">
        <v>100</v>
      </c>
      <c r="Q8" s="49">
        <f>(1.46203-LN(P8)*0.145712)*EXP(1.273*LN(P8)-1.46)</f>
        <v>64.581381577788449</v>
      </c>
      <c r="R8" s="49">
        <f>(1.46203-LN(P8)*0.145712)*EXP(1.273*LN(P8)-4.705)</f>
        <v>2.5166437242964461</v>
      </c>
      <c r="S8" s="61">
        <v>210</v>
      </c>
      <c r="T8" s="54">
        <v>8.1</v>
      </c>
      <c r="U8" s="83">
        <f>IF(O8="F",J8/Q8,J8/S8)</f>
        <v>2.9026674087199179E-5</v>
      </c>
      <c r="V8" s="62">
        <f>IF(O8="F",J8/R8,J8/T8)</f>
        <v>7.5254340226071947E-4</v>
      </c>
    </row>
    <row r="9" spans="1:22">
      <c r="A9" s="71" t="s">
        <v>5</v>
      </c>
      <c r="B9" s="52">
        <v>0.7</v>
      </c>
      <c r="C9" s="119">
        <v>7.4999999999999997E-2</v>
      </c>
      <c r="D9" s="52">
        <v>4.5999999999999996</v>
      </c>
      <c r="E9" s="53">
        <f>B9/10^D9</f>
        <v>1.7583205020567053E-5</v>
      </c>
      <c r="F9" s="53">
        <f>E9*1000</f>
        <v>1.7583205020567053E-2</v>
      </c>
      <c r="G9" s="54">
        <v>4.9000000000000004</v>
      </c>
      <c r="H9" s="52">
        <v>3.5</v>
      </c>
      <c r="I9" s="52">
        <v>17.5</v>
      </c>
      <c r="J9" s="53">
        <f>F9/(1+(I9/1000^2)*(10^G9))</f>
        <v>7.3567605014108256E-3</v>
      </c>
      <c r="K9" s="53">
        <f>F9-J9</f>
        <v>1.0226444519156226E-2</v>
      </c>
      <c r="L9" s="55">
        <f>J9*100/F9</f>
        <v>41.839701537948464</v>
      </c>
      <c r="M9" s="55">
        <f>K9*100/F9</f>
        <v>58.160298462051522</v>
      </c>
      <c r="N9" s="52">
        <v>25</v>
      </c>
      <c r="O9" s="52" t="str">
        <f>IF(N9&lt;5,"F","M")</f>
        <v>M</v>
      </c>
      <c r="P9" s="52">
        <v>100</v>
      </c>
      <c r="Q9" s="49">
        <f>(1.46203-LN(P9)*0.145712)*EXP(1.273*LN(P9)-1.46)</f>
        <v>64.581381577788449</v>
      </c>
      <c r="R9" s="49">
        <f>(1.46203-LN(P9)*0.145712)*EXP(1.273*LN(P9)-4.705)</f>
        <v>2.5166437242964461</v>
      </c>
      <c r="S9" s="61">
        <v>210</v>
      </c>
      <c r="T9" s="54">
        <v>8.1</v>
      </c>
      <c r="U9" s="83">
        <f>IF(O9="F",J9/Q9,J9/S9)</f>
        <v>3.5032192863861077E-5</v>
      </c>
      <c r="V9" s="62">
        <f>IF(O9="F",J9/R9,J9/T9)</f>
        <v>9.0824203721121303E-4</v>
      </c>
    </row>
    <row r="10" spans="1:22">
      <c r="A10" s="71" t="s">
        <v>6</v>
      </c>
      <c r="B10" s="52">
        <v>0.79</v>
      </c>
      <c r="C10" s="119">
        <v>7.4999999999999997E-2</v>
      </c>
      <c r="D10" s="52">
        <v>4.5999999999999996</v>
      </c>
      <c r="E10" s="53">
        <f>B10/10^D10</f>
        <v>1.9843902808925674E-5</v>
      </c>
      <c r="F10" s="53">
        <f>E10*1000</f>
        <v>1.9843902808925673E-2</v>
      </c>
      <c r="G10" s="54">
        <v>4.9000000000000004</v>
      </c>
      <c r="H10" s="52">
        <v>3.5</v>
      </c>
      <c r="I10" s="52">
        <v>17.5</v>
      </c>
      <c r="J10" s="53">
        <f>F10/(1+(I10/1000^2)*(10^G10))</f>
        <v>8.3026297087350747E-3</v>
      </c>
      <c r="K10" s="53">
        <f>F10-J10</f>
        <v>1.1541273100190598E-2</v>
      </c>
      <c r="L10" s="55">
        <f>J10*100/F10</f>
        <v>41.839701537948471</v>
      </c>
      <c r="M10" s="55">
        <f>K10*100/F10</f>
        <v>58.160298462051529</v>
      </c>
      <c r="N10" s="52">
        <v>25</v>
      </c>
      <c r="O10" s="52" t="str">
        <f>IF(N10&lt;5,"F","M")</f>
        <v>M</v>
      </c>
      <c r="P10" s="52">
        <v>100</v>
      </c>
      <c r="Q10" s="49">
        <f>(1.46203-LN(P10)*0.145712)*EXP(1.273*LN(P10)-1.46)</f>
        <v>64.581381577788449</v>
      </c>
      <c r="R10" s="49">
        <f>(1.46203-LN(P10)*0.145712)*EXP(1.273*LN(P10)-4.705)</f>
        <v>2.5166437242964461</v>
      </c>
      <c r="S10" s="61">
        <v>210</v>
      </c>
      <c r="T10" s="54">
        <v>8.1</v>
      </c>
      <c r="U10" s="83">
        <f>IF(O10="F",J10/Q10,J10/S10)</f>
        <v>3.9536331946357495E-5</v>
      </c>
      <c r="V10" s="62">
        <f>IF(O10="F",J10/R10,J10/T10)</f>
        <v>1.0250160134240834E-3</v>
      </c>
    </row>
    <row r="11" spans="1:22">
      <c r="B11" s="64"/>
    </row>
  </sheetData>
  <conditionalFormatting sqref="U6:V7">
    <cfRule type="cellIs" dxfId="15" priority="4" stopIfTrue="1" operator="greaterThanOrEqual">
      <formula>1</formula>
    </cfRule>
  </conditionalFormatting>
  <conditionalFormatting sqref="U8:V8">
    <cfRule type="cellIs" dxfId="14" priority="3" stopIfTrue="1" operator="greaterThanOrEqual">
      <formula>1</formula>
    </cfRule>
  </conditionalFormatting>
  <conditionalFormatting sqref="U9:V9">
    <cfRule type="cellIs" dxfId="13" priority="2" stopIfTrue="1" operator="greaterThanOrEqual">
      <formula>1</formula>
    </cfRule>
  </conditionalFormatting>
  <conditionalFormatting sqref="U10:V10">
    <cfRule type="cellIs" dxfId="12" priority="1" stopIfTrue="1" operator="greaterThanOrEqual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BB50-2FC8-4306-94F3-2B9FF215F377}">
  <dimension ref="A1:V10"/>
  <sheetViews>
    <sheetView workbookViewId="0">
      <selection activeCell="C4" sqref="C4"/>
    </sheetView>
  </sheetViews>
  <sheetFormatPr defaultRowHeight="15"/>
  <cols>
    <col min="1" max="1" width="21.42578125" customWidth="1"/>
    <col min="2" max="2" width="10.28515625" bestFit="1" customWidth="1"/>
    <col min="3" max="3" width="11.140625" bestFit="1" customWidth="1"/>
    <col min="16" max="16" width="11.28515625" bestFit="1" customWidth="1"/>
  </cols>
  <sheetData>
    <row r="1" spans="1:22" ht="15.75">
      <c r="A1" s="33" t="s">
        <v>106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2" ht="41.25">
      <c r="A3" s="35" t="s">
        <v>48</v>
      </c>
      <c r="B3" s="36" t="s">
        <v>31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57">
        <v>4</v>
      </c>
      <c r="C6" s="119">
        <v>7.4999999999999997E-2</v>
      </c>
      <c r="D6" s="47">
        <v>3.9</v>
      </c>
      <c r="E6" s="48">
        <f>B6/10^D6</f>
        <v>5.0357016471766687E-4</v>
      </c>
      <c r="F6" s="50">
        <f>E6*1000</f>
        <v>0.50357016471766691</v>
      </c>
      <c r="G6" s="49">
        <v>3.7</v>
      </c>
      <c r="H6" s="47">
        <v>3.5</v>
      </c>
      <c r="I6" s="47">
        <v>17.5</v>
      </c>
      <c r="J6" s="50">
        <f>F6/(1+(I6/1000^2)*(10^G6))</f>
        <v>0.46296457606703617</v>
      </c>
      <c r="K6" s="50">
        <f>F6-J6</f>
        <v>4.0605588650630742E-2</v>
      </c>
      <c r="L6" s="50">
        <f>J6*100/F6</f>
        <v>91.936458611801044</v>
      </c>
      <c r="M6" s="50">
        <f>K6*100/F6</f>
        <v>8.0635413881989582</v>
      </c>
      <c r="N6" s="47">
        <v>25</v>
      </c>
      <c r="O6" s="47" t="str">
        <f>IF(N6&lt;5,"F","M")</f>
        <v>M</v>
      </c>
      <c r="P6" s="47">
        <v>100</v>
      </c>
      <c r="Q6" s="54">
        <f>0.998*EXP(0.846*LN(P6)+2.255)</f>
        <v>468.23578103252362</v>
      </c>
      <c r="R6" s="54">
        <f>0.997*EXP(0.846*LN(P6)+0.0584)</f>
        <v>52.006539397853551</v>
      </c>
      <c r="S6" s="58">
        <v>74</v>
      </c>
      <c r="T6" s="49">
        <v>8.1999999999999993</v>
      </c>
      <c r="U6" s="59">
        <f>IF(O6="F",J6/Q6,J6/S6)</f>
        <v>6.2562780549599486E-3</v>
      </c>
      <c r="V6" s="65">
        <f>IF(O6="F",J6/R6,J6/T6)</f>
        <v>5.6459094642321489E-2</v>
      </c>
    </row>
    <row r="7" spans="1:22">
      <c r="A7" s="73" t="s">
        <v>3</v>
      </c>
      <c r="B7" s="60">
        <v>3.4</v>
      </c>
      <c r="C7" s="119">
        <v>7.4999999999999997E-2</v>
      </c>
      <c r="D7" s="52">
        <v>3.9</v>
      </c>
      <c r="E7" s="53">
        <f>B7/10^D7</f>
        <v>4.2803464001001681E-4</v>
      </c>
      <c r="F7" s="55">
        <f>E7*1000</f>
        <v>0.42803464001001679</v>
      </c>
      <c r="G7" s="54">
        <v>3.7</v>
      </c>
      <c r="H7" s="52">
        <v>3.5</v>
      </c>
      <c r="I7" s="52">
        <v>17.5</v>
      </c>
      <c r="J7" s="55">
        <f>F7/(1+(I7/1000^2)*(10^G7))</f>
        <v>0.39351988965698065</v>
      </c>
      <c r="K7" s="55">
        <f>F7-J7</f>
        <v>3.4514750353036139E-2</v>
      </c>
      <c r="L7" s="55">
        <f>J7*100/F7</f>
        <v>91.936458611801029</v>
      </c>
      <c r="M7" s="55">
        <f>K7*100/F7</f>
        <v>8.0635413881989617</v>
      </c>
      <c r="N7" s="52">
        <v>25</v>
      </c>
      <c r="O7" s="52" t="str">
        <f>IF(N7&lt;5,"F","M")</f>
        <v>M</v>
      </c>
      <c r="P7" s="52">
        <v>100</v>
      </c>
      <c r="Q7" s="54">
        <f>0.998*EXP(0.846*LN(P7)+2.255)</f>
        <v>468.23578103252362</v>
      </c>
      <c r="R7" s="54">
        <f>0.997*EXP(0.846*LN(P7)+0.0584)</f>
        <v>52.006539397853551</v>
      </c>
      <c r="S7" s="61">
        <v>74</v>
      </c>
      <c r="T7" s="54">
        <v>8.1999999999999993</v>
      </c>
      <c r="U7" s="62">
        <f>IF(O7="F",J7/Q7,J7/S7)</f>
        <v>5.3178363467159548E-3</v>
      </c>
      <c r="V7" s="62">
        <f>IF(O7="F",J7/R7,J7/T7)</f>
        <v>4.7990230445973253E-2</v>
      </c>
    </row>
    <row r="8" spans="1:22">
      <c r="A8" s="71" t="s">
        <v>4</v>
      </c>
      <c r="B8" s="52">
        <v>0.75</v>
      </c>
      <c r="C8" s="119">
        <v>7.4999999999999997E-2</v>
      </c>
      <c r="D8" s="52">
        <v>3.9</v>
      </c>
      <c r="E8" s="53">
        <f t="shared" ref="E8:E10" si="0">B8/10^D8</f>
        <v>9.4419405884562537E-5</v>
      </c>
      <c r="F8" s="55">
        <f t="shared" ref="F8:F10" si="1">E8*1000</f>
        <v>9.4419405884562532E-2</v>
      </c>
      <c r="G8" s="54">
        <v>3.7</v>
      </c>
      <c r="H8" s="52">
        <v>3.5</v>
      </c>
      <c r="I8" s="52">
        <v>17.5</v>
      </c>
      <c r="J8" s="55">
        <f t="shared" ref="J8:J9" si="2">F8/(1+(I8/1000^2)*(10^G8))</f>
        <v>8.6805858012569265E-2</v>
      </c>
      <c r="K8" s="55">
        <f t="shared" ref="K8:K9" si="3">F8-J8</f>
        <v>7.6135478719932675E-3</v>
      </c>
      <c r="L8" s="55">
        <f t="shared" ref="L8:L10" si="4">J8*100/F8</f>
        <v>91.936458611801029</v>
      </c>
      <c r="M8" s="55">
        <f t="shared" ref="M8:M10" si="5">K8*100/F8</f>
        <v>8.0635413881989635</v>
      </c>
      <c r="N8" s="52">
        <v>25</v>
      </c>
      <c r="O8" s="52" t="str">
        <f t="shared" ref="O8:O10" si="6">IF(N8&lt;5,"F","M")</f>
        <v>M</v>
      </c>
      <c r="P8" s="52">
        <v>100</v>
      </c>
      <c r="Q8" s="54">
        <f t="shared" ref="Q8:Q10" si="7">0.998*EXP(0.846*LN(P8)+2.255)</f>
        <v>468.23578103252362</v>
      </c>
      <c r="R8" s="54">
        <f t="shared" ref="R8:R10" si="8">0.997*EXP(0.846*LN(P8)+0.0584)</f>
        <v>52.006539397853551</v>
      </c>
      <c r="S8" s="61">
        <v>74</v>
      </c>
      <c r="T8" s="54">
        <v>8.1999999999999993</v>
      </c>
      <c r="U8" s="62">
        <f t="shared" ref="U8:U9" si="9">IF(O8="F",J8/Q8,J8/S8)</f>
        <v>1.17305213530499E-3</v>
      </c>
      <c r="V8" s="62">
        <f t="shared" ref="V8:V10" si="10">IF(O8="F",J8/R8,J8/T8)</f>
        <v>1.0586080245435277E-2</v>
      </c>
    </row>
    <row r="9" spans="1:22">
      <c r="A9" s="71" t="s">
        <v>5</v>
      </c>
      <c r="B9" s="52">
        <v>0.89</v>
      </c>
      <c r="C9" s="119">
        <v>7.4999999999999997E-2</v>
      </c>
      <c r="D9" s="52">
        <v>3.9</v>
      </c>
      <c r="E9" s="53">
        <f t="shared" si="0"/>
        <v>1.1204436164968088E-4</v>
      </c>
      <c r="F9" s="55">
        <f t="shared" si="1"/>
        <v>0.11204436164968087</v>
      </c>
      <c r="G9" s="54">
        <v>3.7</v>
      </c>
      <c r="H9" s="52">
        <v>3.5</v>
      </c>
      <c r="I9" s="52">
        <v>17.5</v>
      </c>
      <c r="J9" s="55">
        <f t="shared" si="2"/>
        <v>0.10300961817491554</v>
      </c>
      <c r="K9" s="55">
        <f t="shared" si="3"/>
        <v>9.034743474765336E-3</v>
      </c>
      <c r="L9" s="55">
        <f t="shared" si="4"/>
        <v>91.936458611801044</v>
      </c>
      <c r="M9" s="55">
        <f t="shared" si="5"/>
        <v>8.0635413881989564</v>
      </c>
      <c r="N9" s="52">
        <v>25</v>
      </c>
      <c r="O9" s="52" t="str">
        <f t="shared" si="6"/>
        <v>M</v>
      </c>
      <c r="P9" s="52">
        <v>100</v>
      </c>
      <c r="Q9" s="54">
        <f t="shared" si="7"/>
        <v>468.23578103252362</v>
      </c>
      <c r="R9" s="54">
        <f t="shared" si="8"/>
        <v>52.006539397853551</v>
      </c>
      <c r="S9" s="61">
        <v>74</v>
      </c>
      <c r="T9" s="54">
        <v>8.1999999999999993</v>
      </c>
      <c r="U9" s="62">
        <f t="shared" si="9"/>
        <v>1.3920218672285884E-3</v>
      </c>
      <c r="V9" s="62">
        <f t="shared" si="10"/>
        <v>1.2562148557916529E-2</v>
      </c>
    </row>
    <row r="10" spans="1:22">
      <c r="A10" s="71" t="s">
        <v>6</v>
      </c>
      <c r="B10" s="52">
        <v>0.5</v>
      </c>
      <c r="C10" s="119">
        <v>7.4999999999999997E-2</v>
      </c>
      <c r="D10" s="52">
        <v>3.9</v>
      </c>
      <c r="E10" s="53">
        <f t="shared" si="0"/>
        <v>6.2946270589708358E-5</v>
      </c>
      <c r="F10" s="55">
        <f t="shared" si="1"/>
        <v>6.2946270589708364E-2</v>
      </c>
      <c r="G10" s="54">
        <v>3.7</v>
      </c>
      <c r="H10" s="52">
        <v>3.5</v>
      </c>
      <c r="I10" s="52">
        <v>17.5</v>
      </c>
      <c r="J10" s="55">
        <f>F10/(1+(I10/1000^2)*(10^G10))</f>
        <v>5.7870572008379521E-2</v>
      </c>
      <c r="K10" s="55">
        <f>F10-J10</f>
        <v>5.0756985813288427E-3</v>
      </c>
      <c r="L10" s="55">
        <f t="shared" si="4"/>
        <v>91.936458611801044</v>
      </c>
      <c r="M10" s="55">
        <f t="shared" si="5"/>
        <v>8.0635413881989582</v>
      </c>
      <c r="N10" s="52">
        <v>25</v>
      </c>
      <c r="O10" s="52" t="str">
        <f t="shared" si="6"/>
        <v>M</v>
      </c>
      <c r="P10" s="52">
        <v>100</v>
      </c>
      <c r="Q10" s="54">
        <f t="shared" si="7"/>
        <v>468.23578103252362</v>
      </c>
      <c r="R10" s="54">
        <f t="shared" si="8"/>
        <v>52.006539397853551</v>
      </c>
      <c r="S10" s="61">
        <v>74</v>
      </c>
      <c r="T10" s="54">
        <v>8.1999999999999993</v>
      </c>
      <c r="U10" s="62">
        <f>IF(O10="F",J10/Q10,J10/S10)</f>
        <v>7.8203475686999357E-4</v>
      </c>
      <c r="V10" s="62">
        <f t="shared" si="10"/>
        <v>7.0573868302901861E-3</v>
      </c>
    </row>
  </sheetData>
  <conditionalFormatting sqref="U6:V7">
    <cfRule type="cellIs" dxfId="11" priority="2" stopIfTrue="1" operator="greaterThanOrEqual">
      <formula>1</formula>
    </cfRule>
  </conditionalFormatting>
  <conditionalFormatting sqref="U8:V10">
    <cfRule type="cellIs" dxfId="10" priority="1" stopIfTrue="1" operator="greaterThanOrEqual"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F728-4DF7-474D-978E-C2AF9CD5DFDE}">
  <dimension ref="A1:V10"/>
  <sheetViews>
    <sheetView zoomScaleNormal="100" workbookViewId="0">
      <selection activeCell="C4" sqref="C4"/>
    </sheetView>
  </sheetViews>
  <sheetFormatPr defaultRowHeight="15"/>
  <cols>
    <col min="1" max="1" width="19.5703125" customWidth="1"/>
    <col min="2" max="2" width="10.28515625" bestFit="1" customWidth="1"/>
    <col min="3" max="3" width="11.140625" bestFit="1" customWidth="1"/>
    <col min="4" max="4" width="10" bestFit="1" customWidth="1"/>
    <col min="16" max="16" width="12.5703125" bestFit="1" customWidth="1"/>
    <col min="17" max="18" width="9.140625" customWidth="1"/>
  </cols>
  <sheetData>
    <row r="1" spans="1:22" ht="15.75">
      <c r="A1" s="33" t="s">
        <v>107</v>
      </c>
    </row>
    <row r="3" spans="1:22" ht="41.25">
      <c r="A3" s="35" t="s">
        <v>48</v>
      </c>
      <c r="B3" s="36" t="s">
        <v>33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57" t="s">
        <v>15</v>
      </c>
      <c r="C6" s="119">
        <v>7.4999999999999997E-2</v>
      </c>
      <c r="D6" s="47">
        <v>3.6</v>
      </c>
      <c r="E6" s="48" t="e">
        <f>B6/10^D6</f>
        <v>#VALUE!</v>
      </c>
      <c r="F6" s="48" t="e">
        <f>E6*1000</f>
        <v>#VALUE!</v>
      </c>
      <c r="G6" s="49">
        <v>2</v>
      </c>
      <c r="H6" s="47">
        <v>3.5</v>
      </c>
      <c r="I6" s="47">
        <v>17.5</v>
      </c>
      <c r="J6" s="48" t="e">
        <f>F6/(1+(I6/1000^2)*(10^G6))</f>
        <v>#VALUE!</v>
      </c>
      <c r="K6" s="48" t="e">
        <f>F6-J6</f>
        <v>#VALUE!</v>
      </c>
      <c r="L6" s="50" t="e">
        <f>J6*100/F6</f>
        <v>#VALUE!</v>
      </c>
      <c r="M6" s="50" t="e">
        <f>K6*100/F6</f>
        <v>#VALUE!</v>
      </c>
      <c r="N6" s="47">
        <v>25</v>
      </c>
      <c r="O6" s="47" t="str">
        <f>IF(N6&lt;5,"F","M")</f>
        <v>M</v>
      </c>
      <c r="P6" s="47">
        <v>100</v>
      </c>
      <c r="Q6" s="58">
        <v>20</v>
      </c>
      <c r="R6" s="58">
        <v>5</v>
      </c>
      <c r="S6" s="58">
        <v>290</v>
      </c>
      <c r="T6" s="58">
        <v>71</v>
      </c>
      <c r="U6" s="59" t="e">
        <f>IF(O6="F",J6/Q6,J6/S6)</f>
        <v>#VALUE!</v>
      </c>
      <c r="V6" s="65" t="e">
        <f>IF(O6="F",J6/R6,J6/T6)</f>
        <v>#VALUE!</v>
      </c>
    </row>
    <row r="7" spans="1:22">
      <c r="A7" s="73" t="s">
        <v>3</v>
      </c>
      <c r="B7" s="57" t="s">
        <v>15</v>
      </c>
      <c r="C7" s="119">
        <v>7.4999999999999997E-2</v>
      </c>
      <c r="D7" s="52">
        <v>3.6</v>
      </c>
      <c r="E7" s="53" t="e">
        <f>B7/10^D7</f>
        <v>#VALUE!</v>
      </c>
      <c r="F7" s="53" t="e">
        <f>E7*1000</f>
        <v>#VALUE!</v>
      </c>
      <c r="G7" s="54">
        <v>2</v>
      </c>
      <c r="H7" s="52">
        <v>3.5</v>
      </c>
      <c r="I7" s="52">
        <v>17.5</v>
      </c>
      <c r="J7" s="53" t="e">
        <f>F7/(1+(I7/1000^2)*(10^G7))</f>
        <v>#VALUE!</v>
      </c>
      <c r="K7" s="53" t="e">
        <f>F7-J7</f>
        <v>#VALUE!</v>
      </c>
      <c r="L7" s="55" t="e">
        <f>J7*100/F7</f>
        <v>#VALUE!</v>
      </c>
      <c r="M7" s="55" t="e">
        <f>K7*100/F7</f>
        <v>#VALUE!</v>
      </c>
      <c r="N7" s="52">
        <v>25</v>
      </c>
      <c r="O7" s="52" t="str">
        <f>IF(N7&lt;5,"F","M")</f>
        <v>M</v>
      </c>
      <c r="P7" s="52">
        <v>100</v>
      </c>
      <c r="Q7" s="61">
        <v>20</v>
      </c>
      <c r="R7" s="61">
        <v>5</v>
      </c>
      <c r="S7" s="61">
        <v>290</v>
      </c>
      <c r="T7" s="61">
        <v>71</v>
      </c>
      <c r="U7" s="62" t="e">
        <f>IF(O7="F",J7/Q7,J7/S7)</f>
        <v>#VALUE!</v>
      </c>
      <c r="V7" s="62" t="e">
        <f>IF(O7="F",J7/R7,J7/T7)</f>
        <v>#VALUE!</v>
      </c>
    </row>
    <row r="8" spans="1:22">
      <c r="A8" s="71" t="s">
        <v>4</v>
      </c>
      <c r="B8" s="57" t="s">
        <v>15</v>
      </c>
      <c r="C8" s="119">
        <v>7.4999999999999997E-2</v>
      </c>
      <c r="D8" s="52">
        <v>3.6</v>
      </c>
      <c r="E8" s="53" t="e">
        <f>B8/10^D8</f>
        <v>#VALUE!</v>
      </c>
      <c r="F8" s="53" t="e">
        <f>E8*1000</f>
        <v>#VALUE!</v>
      </c>
      <c r="G8" s="54">
        <v>2</v>
      </c>
      <c r="H8" s="52">
        <v>3.5</v>
      </c>
      <c r="I8" s="52">
        <v>17.5</v>
      </c>
      <c r="J8" s="53" t="e">
        <f>F8/(1+(I8/1000^2)*(10^G8))</f>
        <v>#VALUE!</v>
      </c>
      <c r="K8" s="53" t="e">
        <f>F8-J8</f>
        <v>#VALUE!</v>
      </c>
      <c r="L8" s="55" t="e">
        <f>J8*100/F8</f>
        <v>#VALUE!</v>
      </c>
      <c r="M8" s="55" t="e">
        <f>K8*100/F8</f>
        <v>#VALUE!</v>
      </c>
      <c r="N8" s="52">
        <v>25</v>
      </c>
      <c r="O8" s="52" t="str">
        <f>IF(N8&lt;5,"F","M")</f>
        <v>M</v>
      </c>
      <c r="P8" s="52">
        <v>100</v>
      </c>
      <c r="Q8" s="61">
        <v>20</v>
      </c>
      <c r="R8" s="61">
        <v>5</v>
      </c>
      <c r="S8" s="61">
        <v>290</v>
      </c>
      <c r="T8" s="61">
        <v>71</v>
      </c>
      <c r="U8" s="62" t="e">
        <f>IF(O8="F",J8/Q8,J8/S8)</f>
        <v>#VALUE!</v>
      </c>
      <c r="V8" s="62" t="e">
        <f>IF(O8="F",J8/R8,J8/T8)</f>
        <v>#VALUE!</v>
      </c>
    </row>
    <row r="9" spans="1:22">
      <c r="A9" s="71" t="s">
        <v>5</v>
      </c>
      <c r="B9" s="57" t="s">
        <v>15</v>
      </c>
      <c r="C9" s="119">
        <v>7.4999999999999997E-2</v>
      </c>
      <c r="D9" s="52">
        <v>3.6</v>
      </c>
      <c r="E9" s="53" t="e">
        <f>B9/10^D9</f>
        <v>#VALUE!</v>
      </c>
      <c r="F9" s="53" t="e">
        <f>E9*1000</f>
        <v>#VALUE!</v>
      </c>
      <c r="G9" s="54">
        <v>2</v>
      </c>
      <c r="H9" s="52">
        <v>3.5</v>
      </c>
      <c r="I9" s="52">
        <v>17.5</v>
      </c>
      <c r="J9" s="53" t="e">
        <f>F9/(1+(I9/1000^2)*(10^G9))</f>
        <v>#VALUE!</v>
      </c>
      <c r="K9" s="53" t="e">
        <f>F9-J9</f>
        <v>#VALUE!</v>
      </c>
      <c r="L9" s="55" t="e">
        <f>J9*100/F9</f>
        <v>#VALUE!</v>
      </c>
      <c r="M9" s="55" t="e">
        <f>K9*100/F9</f>
        <v>#VALUE!</v>
      </c>
      <c r="N9" s="52">
        <v>25</v>
      </c>
      <c r="O9" s="52" t="str">
        <f>IF(N9&lt;5,"F","M")</f>
        <v>M</v>
      </c>
      <c r="P9" s="52">
        <v>100</v>
      </c>
      <c r="Q9" s="61">
        <v>20</v>
      </c>
      <c r="R9" s="61">
        <v>5</v>
      </c>
      <c r="S9" s="61">
        <v>290</v>
      </c>
      <c r="T9" s="61">
        <v>71</v>
      </c>
      <c r="U9" s="62" t="e">
        <f>IF(O9="F",J9/Q9,J9/S9)</f>
        <v>#VALUE!</v>
      </c>
      <c r="V9" s="62" t="e">
        <f>IF(O9="F",J9/R9,J9/T9)</f>
        <v>#VALUE!</v>
      </c>
    </row>
    <row r="10" spans="1:22">
      <c r="A10" s="71" t="s">
        <v>6</v>
      </c>
      <c r="B10" s="57" t="s">
        <v>15</v>
      </c>
      <c r="C10" s="119">
        <v>7.4999999999999997E-2</v>
      </c>
      <c r="D10" s="52">
        <v>3.6</v>
      </c>
      <c r="E10" s="53" t="e">
        <f>B10/10^D10</f>
        <v>#VALUE!</v>
      </c>
      <c r="F10" s="53" t="e">
        <f>E10*1000</f>
        <v>#VALUE!</v>
      </c>
      <c r="G10" s="54">
        <v>2</v>
      </c>
      <c r="H10" s="52">
        <v>3.5</v>
      </c>
      <c r="I10" s="52">
        <v>17.5</v>
      </c>
      <c r="J10" s="53" t="e">
        <f>F10/(1+(I10/1000^2)*(10^G10))</f>
        <v>#VALUE!</v>
      </c>
      <c r="K10" s="53" t="e">
        <f>F10-J10</f>
        <v>#VALUE!</v>
      </c>
      <c r="L10" s="55" t="e">
        <f>J10*100/F10</f>
        <v>#VALUE!</v>
      </c>
      <c r="M10" s="55" t="e">
        <f>K10*100/F10</f>
        <v>#VALUE!</v>
      </c>
      <c r="N10" s="52">
        <v>25</v>
      </c>
      <c r="O10" s="52" t="str">
        <f>IF(N10&lt;5,"F","M")</f>
        <v>M</v>
      </c>
      <c r="P10" s="52">
        <v>100</v>
      </c>
      <c r="Q10" s="61">
        <v>20</v>
      </c>
      <c r="R10" s="61">
        <v>5</v>
      </c>
      <c r="S10" s="61">
        <v>290</v>
      </c>
      <c r="T10" s="61">
        <v>71</v>
      </c>
      <c r="U10" s="62" t="e">
        <f>IF(O10="F",J10/Q10,J10/S10)</f>
        <v>#VALUE!</v>
      </c>
      <c r="V10" s="62" t="e">
        <f>IF(O10="F",J10/R10,J10/T10)</f>
        <v>#VALUE!</v>
      </c>
    </row>
  </sheetData>
  <conditionalFormatting sqref="U6:V7">
    <cfRule type="cellIs" dxfId="9" priority="4" stopIfTrue="1" operator="greaterThanOrEqual">
      <formula>1</formula>
    </cfRule>
  </conditionalFormatting>
  <conditionalFormatting sqref="U8:V8">
    <cfRule type="cellIs" dxfId="8" priority="3" stopIfTrue="1" operator="greaterThanOrEqual">
      <formula>1</formula>
    </cfRule>
  </conditionalFormatting>
  <conditionalFormatting sqref="U9:V9">
    <cfRule type="cellIs" dxfId="7" priority="2" stopIfTrue="1" operator="greaterThanOrEqual">
      <formula>1</formula>
    </cfRule>
  </conditionalFormatting>
  <conditionalFormatting sqref="U10:V10">
    <cfRule type="cellIs" dxfId="6" priority="1" stopIfTrue="1" operator="greaterThanOrEqual">
      <formula>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483B-83EA-4510-884C-475B4459CAF9}">
  <dimension ref="A1:V16"/>
  <sheetViews>
    <sheetView workbookViewId="0">
      <selection activeCell="C4" sqref="C4"/>
    </sheetView>
  </sheetViews>
  <sheetFormatPr defaultRowHeight="15"/>
  <cols>
    <col min="1" max="1" width="20.140625" customWidth="1"/>
    <col min="4" max="4" width="10" bestFit="1" customWidth="1"/>
    <col min="7" max="7" width="10" bestFit="1" customWidth="1"/>
    <col min="11" max="11" width="11.28515625" bestFit="1" customWidth="1"/>
    <col min="16" max="16" width="11.28515625" bestFit="1" customWidth="1"/>
  </cols>
  <sheetData>
    <row r="1" spans="1:22" ht="15.75">
      <c r="A1" s="33" t="s">
        <v>108</v>
      </c>
    </row>
    <row r="3" spans="1:22" ht="41.25">
      <c r="A3" s="35" t="s">
        <v>48</v>
      </c>
      <c r="B3" s="36" t="s">
        <v>34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46">
        <v>0.44</v>
      </c>
      <c r="C6" s="119">
        <v>7.4999999999999997E-2</v>
      </c>
      <c r="D6" s="47">
        <v>3.6</v>
      </c>
      <c r="E6" s="48">
        <f>B6/10^D6</f>
        <v>1.105230029864214E-4</v>
      </c>
      <c r="F6" s="48">
        <f>E6*1000</f>
        <v>0.1105230029864214</v>
      </c>
      <c r="G6" s="49">
        <v>2.5</v>
      </c>
      <c r="H6" s="47">
        <v>3.5</v>
      </c>
      <c r="I6" s="47">
        <v>17.5</v>
      </c>
      <c r="J6" s="48">
        <f>F6/(1+(I6/1000^2)*(10^G6))</f>
        <v>0.10991473638448547</v>
      </c>
      <c r="K6" s="48">
        <f>F6-J6</f>
        <v>6.0826660193592785E-4</v>
      </c>
      <c r="L6" s="50">
        <f>J6*100/F6</f>
        <v>99.44964705491158</v>
      </c>
      <c r="M6" s="50">
        <f>K6*100/F6</f>
        <v>0.5503529450884157</v>
      </c>
      <c r="N6" s="47">
        <v>25</v>
      </c>
      <c r="O6" s="47" t="str">
        <f>IF(N6&lt;5,"F","M")</f>
        <v>M</v>
      </c>
      <c r="P6" s="47">
        <v>100</v>
      </c>
      <c r="Q6" s="66">
        <f>0.85*EXP(1.72*LN(P6)-6.59)</f>
        <v>3.2167572612383837</v>
      </c>
      <c r="R6" s="50" t="s">
        <v>22</v>
      </c>
      <c r="S6" s="49">
        <v>1.9</v>
      </c>
      <c r="T6" s="49" t="s">
        <v>22</v>
      </c>
      <c r="U6" s="59">
        <f>IF(O6="F",J6/Q6,J6/S6)</f>
        <v>5.7849861254992356E-2</v>
      </c>
      <c r="V6" s="67" t="s">
        <v>22</v>
      </c>
    </row>
    <row r="7" spans="1:22">
      <c r="A7" s="73" t="s">
        <v>3</v>
      </c>
      <c r="B7" s="46">
        <v>0.43</v>
      </c>
      <c r="C7" s="119">
        <v>7.4999999999999997E-2</v>
      </c>
      <c r="D7" s="52">
        <v>3.6</v>
      </c>
      <c r="E7" s="53">
        <f>B7/10^D7</f>
        <v>1.0801111655491182E-4</v>
      </c>
      <c r="F7" s="53">
        <f>E7*1000</f>
        <v>0.10801111655491182</v>
      </c>
      <c r="G7" s="54">
        <v>2.5</v>
      </c>
      <c r="H7" s="52">
        <v>3.5</v>
      </c>
      <c r="I7" s="52">
        <v>17.5</v>
      </c>
      <c r="J7" s="53">
        <f>F7/(1+(I7/1000^2)*(10^G7))</f>
        <v>0.10741667419392897</v>
      </c>
      <c r="K7" s="53">
        <f>F7-J7</f>
        <v>5.9444236098284142E-4</v>
      </c>
      <c r="L7" s="55">
        <f>J7*100/F7</f>
        <v>99.44964705491158</v>
      </c>
      <c r="M7" s="55">
        <f>K7*100/F7</f>
        <v>0.55035294508841837</v>
      </c>
      <c r="N7" s="52">
        <v>25</v>
      </c>
      <c r="O7" s="52" t="str">
        <f>IF(N7&lt;5,"F","M")</f>
        <v>M</v>
      </c>
      <c r="P7" s="52">
        <v>100</v>
      </c>
      <c r="Q7" s="55">
        <f>0.85*EXP(1.72*LN(P7)-6.59)</f>
        <v>3.2167572612383837</v>
      </c>
      <c r="R7" s="55" t="s">
        <v>22</v>
      </c>
      <c r="S7" s="54">
        <v>1.9</v>
      </c>
      <c r="T7" s="54" t="s">
        <v>22</v>
      </c>
      <c r="U7" s="59">
        <f t="shared" ref="U7:U10" si="0">IF(O7="F",J7/Q7,J7/S7)</f>
        <v>5.6535091681015254E-2</v>
      </c>
      <c r="V7" s="55" t="s">
        <v>22</v>
      </c>
    </row>
    <row r="8" spans="1:22">
      <c r="A8" s="71" t="s">
        <v>4</v>
      </c>
      <c r="B8" s="46">
        <v>0.34</v>
      </c>
      <c r="C8" s="119">
        <v>7.4999999999999997E-2</v>
      </c>
      <c r="D8" s="52">
        <v>3.6</v>
      </c>
      <c r="E8" s="53">
        <f>B8/10^D8</f>
        <v>8.5404138671325641E-5</v>
      </c>
      <c r="F8" s="53">
        <f>E8*1000</f>
        <v>8.5404138671325638E-2</v>
      </c>
      <c r="G8" s="54">
        <v>2.5</v>
      </c>
      <c r="H8" s="52">
        <v>3.5</v>
      </c>
      <c r="I8" s="52">
        <v>17.5</v>
      </c>
      <c r="J8" s="53">
        <f>F8/(1+(I8/1000^2)*(10^G8))</f>
        <v>8.4934114478920603E-2</v>
      </c>
      <c r="K8" s="53">
        <f>F8-J8</f>
        <v>4.7002419240503579E-4</v>
      </c>
      <c r="L8" s="55">
        <f>J8*100/F8</f>
        <v>99.44964705491158</v>
      </c>
      <c r="M8" s="55">
        <f>K8*100/F8</f>
        <v>0.55035294508841637</v>
      </c>
      <c r="N8" s="52">
        <v>25</v>
      </c>
      <c r="O8" s="52" t="str">
        <f>IF(N8&lt;5,"F","M")</f>
        <v>M</v>
      </c>
      <c r="P8" s="52">
        <v>100</v>
      </c>
      <c r="Q8" s="55">
        <f>0.85*EXP(1.72*LN(P8)-6.59)</f>
        <v>3.2167572612383837</v>
      </c>
      <c r="R8" s="55" t="s">
        <v>22</v>
      </c>
      <c r="S8" s="54">
        <v>1.9</v>
      </c>
      <c r="T8" s="54" t="s">
        <v>22</v>
      </c>
      <c r="U8" s="59">
        <f t="shared" si="0"/>
        <v>4.4702165515221375E-2</v>
      </c>
      <c r="V8" s="55" t="s">
        <v>22</v>
      </c>
    </row>
    <row r="9" spans="1:22">
      <c r="A9" s="71" t="s">
        <v>5</v>
      </c>
      <c r="B9" s="46">
        <v>0.43</v>
      </c>
      <c r="C9" s="119">
        <v>7.4999999999999997E-2</v>
      </c>
      <c r="D9" s="52">
        <v>3.6</v>
      </c>
      <c r="E9" s="53">
        <f>B9/10^D9</f>
        <v>1.0801111655491182E-4</v>
      </c>
      <c r="F9" s="53">
        <f>E9*1000</f>
        <v>0.10801111655491182</v>
      </c>
      <c r="G9" s="54">
        <v>2.5</v>
      </c>
      <c r="H9" s="52">
        <v>3.5</v>
      </c>
      <c r="I9" s="52">
        <v>17.5</v>
      </c>
      <c r="J9" s="53">
        <f>F9/(1+(I9/1000^2)*(10^G9))</f>
        <v>0.10741667419392897</v>
      </c>
      <c r="K9" s="53">
        <f>F9-J9</f>
        <v>5.9444236098284142E-4</v>
      </c>
      <c r="L9" s="55">
        <f>J9*100/F9</f>
        <v>99.44964705491158</v>
      </c>
      <c r="M9" s="55">
        <f>K9*100/F9</f>
        <v>0.55035294508841837</v>
      </c>
      <c r="N9" s="52">
        <v>25</v>
      </c>
      <c r="O9" s="52" t="str">
        <f>IF(N9&lt;5,"F","M")</f>
        <v>M</v>
      </c>
      <c r="P9" s="52">
        <v>100</v>
      </c>
      <c r="Q9" s="55">
        <f>0.85*EXP(1.72*LN(P9)-6.59)</f>
        <v>3.2167572612383837</v>
      </c>
      <c r="R9" s="55" t="s">
        <v>22</v>
      </c>
      <c r="S9" s="54">
        <v>1.9</v>
      </c>
      <c r="T9" s="54" t="s">
        <v>22</v>
      </c>
      <c r="U9" s="59">
        <f t="shared" si="0"/>
        <v>5.6535091681015254E-2</v>
      </c>
      <c r="V9" s="55" t="s">
        <v>22</v>
      </c>
    </row>
    <row r="10" spans="1:22">
      <c r="A10" s="71" t="s">
        <v>6</v>
      </c>
      <c r="B10" s="46">
        <v>4.9000000000000002E-2</v>
      </c>
      <c r="C10" s="119">
        <v>7.4999999999999997E-2</v>
      </c>
      <c r="D10" s="52">
        <v>3.6</v>
      </c>
      <c r="E10" s="53">
        <f>B10/10^D10</f>
        <v>1.230824351439693E-5</v>
      </c>
      <c r="F10" s="53">
        <f>E10*1000</f>
        <v>1.230824351439693E-2</v>
      </c>
      <c r="G10" s="54">
        <v>2.5</v>
      </c>
      <c r="H10" s="52">
        <v>3.5</v>
      </c>
      <c r="I10" s="52">
        <v>17.5</v>
      </c>
      <c r="J10" s="53">
        <f>F10/(1+(I10/1000^2)*(10^G10))</f>
        <v>1.2240504733726792E-2</v>
      </c>
      <c r="K10" s="53">
        <f>F10-J10</f>
        <v>6.7738780670137388E-5</v>
      </c>
      <c r="L10" s="55">
        <f>J10*100/F10</f>
        <v>99.44964705491158</v>
      </c>
      <c r="M10" s="55">
        <f>K10*100/F10</f>
        <v>0.55035294508841548</v>
      </c>
      <c r="N10" s="52">
        <v>25</v>
      </c>
      <c r="O10" s="52" t="str">
        <f>IF(N10&lt;5,"F","M")</f>
        <v>M</v>
      </c>
      <c r="P10" s="52">
        <v>100</v>
      </c>
      <c r="Q10" s="55">
        <f>0.85*EXP(1.72*LN(P10)-6.59)</f>
        <v>3.2167572612383837</v>
      </c>
      <c r="R10" s="55" t="s">
        <v>22</v>
      </c>
      <c r="S10" s="54">
        <v>1.9</v>
      </c>
      <c r="T10" s="54" t="s">
        <v>22</v>
      </c>
      <c r="U10" s="59">
        <f t="shared" si="0"/>
        <v>6.4423709124877861E-3</v>
      </c>
      <c r="V10" s="55" t="s">
        <v>22</v>
      </c>
    </row>
    <row r="11" spans="1:2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63"/>
      <c r="V11" s="34"/>
    </row>
    <row r="12" spans="1:2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63"/>
      <c r="V12" s="34"/>
    </row>
    <row r="13" spans="1:2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>
      <c r="A14" s="56" t="s">
        <v>95</v>
      </c>
      <c r="B14" s="56"/>
      <c r="C14" s="56"/>
      <c r="D14" s="56"/>
      <c r="E14" s="56"/>
      <c r="F14" s="56"/>
      <c r="G14" s="56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>
      <c r="Q15" s="30"/>
    </row>
    <row r="16" spans="1:22">
      <c r="A16" t="s">
        <v>109</v>
      </c>
    </row>
  </sheetData>
  <conditionalFormatting sqref="U11:U12">
    <cfRule type="cellIs" dxfId="5" priority="2" operator="greaterThan">
      <formula>1</formula>
    </cfRule>
  </conditionalFormatting>
  <conditionalFormatting sqref="U6:U10">
    <cfRule type="cellIs" dxfId="4" priority="1" stopIfTrue="1" operator="greaterThanOrEqual"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BB7B-9893-4D3F-8A3E-F37EB4270E5D}">
  <dimension ref="A1:V10"/>
  <sheetViews>
    <sheetView workbookViewId="0">
      <selection activeCell="C4" sqref="C4"/>
    </sheetView>
  </sheetViews>
  <sheetFormatPr defaultRowHeight="15"/>
  <cols>
    <col min="1" max="1" width="22.28515625" customWidth="1"/>
    <col min="3" max="3" width="9.85546875" customWidth="1"/>
    <col min="7" max="7" width="10" bestFit="1" customWidth="1"/>
    <col min="11" max="11" width="11.28515625" bestFit="1" customWidth="1"/>
    <col min="16" max="16" width="11.28515625" bestFit="1" customWidth="1"/>
  </cols>
  <sheetData>
    <row r="1" spans="1:22" ht="15.75">
      <c r="A1" s="33" t="s">
        <v>110</v>
      </c>
    </row>
    <row r="3" spans="1:22" ht="41.25">
      <c r="A3" s="35" t="s">
        <v>48</v>
      </c>
      <c r="B3" s="36" t="s">
        <v>37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57" t="s">
        <v>15</v>
      </c>
      <c r="C6" s="119">
        <v>7.4999999999999997E-2</v>
      </c>
      <c r="D6" s="47">
        <v>1.3</v>
      </c>
      <c r="E6" s="48" t="e">
        <f>B6/10^D6</f>
        <v>#VALUE!</v>
      </c>
      <c r="F6" s="50" t="e">
        <f>E6*1000</f>
        <v>#VALUE!</v>
      </c>
      <c r="G6" s="49">
        <v>1.6</v>
      </c>
      <c r="H6" s="47">
        <v>3.5</v>
      </c>
      <c r="I6" s="47">
        <v>17.5</v>
      </c>
      <c r="J6" s="50" t="e">
        <f>F6/(1+(I6/1000^2)*(10^G6))</f>
        <v>#VALUE!</v>
      </c>
      <c r="K6" s="48" t="e">
        <f>F6-J6</f>
        <v>#VALUE!</v>
      </c>
      <c r="L6" s="50" t="e">
        <f>J6*100/F6</f>
        <v>#VALUE!</v>
      </c>
      <c r="M6" s="50" t="e">
        <f>K6*100/F6</f>
        <v>#VALUE!</v>
      </c>
      <c r="N6" s="47">
        <v>25</v>
      </c>
      <c r="O6" s="47" t="str">
        <f>IF(N6&lt;5,"F","M")</f>
        <v>M</v>
      </c>
      <c r="P6" s="47">
        <v>100</v>
      </c>
      <c r="Q6" s="132" t="s">
        <v>111</v>
      </c>
      <c r="R6" s="133"/>
      <c r="S6" s="134"/>
      <c r="T6" s="134"/>
      <c r="U6" s="134"/>
      <c r="V6" s="140"/>
    </row>
    <row r="7" spans="1:22">
      <c r="A7" s="73" t="s">
        <v>3</v>
      </c>
      <c r="B7" s="57" t="s">
        <v>15</v>
      </c>
      <c r="C7" s="119">
        <v>7.4999999999999997E-2</v>
      </c>
      <c r="D7" s="52">
        <v>1.3</v>
      </c>
      <c r="E7" s="53" t="e">
        <f>B7/10^D7</f>
        <v>#VALUE!</v>
      </c>
      <c r="F7" s="55" t="e">
        <f>E7*1000</f>
        <v>#VALUE!</v>
      </c>
      <c r="G7" s="54">
        <v>1.6</v>
      </c>
      <c r="H7" s="52">
        <v>3.5</v>
      </c>
      <c r="I7" s="52">
        <v>17.5</v>
      </c>
      <c r="J7" s="55" t="e">
        <f>F7/(1+(I7/1000^2)*(10^G7))</f>
        <v>#VALUE!</v>
      </c>
      <c r="K7" s="53" t="e">
        <f>F7-J7</f>
        <v>#VALUE!</v>
      </c>
      <c r="L7" s="55" t="e">
        <f>J7*100/F7</f>
        <v>#VALUE!</v>
      </c>
      <c r="M7" s="55" t="e">
        <f>K7*100/F7</f>
        <v>#VALUE!</v>
      </c>
      <c r="N7" s="52">
        <v>25</v>
      </c>
      <c r="O7" s="52" t="str">
        <f>IF(N7&lt;5,"F","M")</f>
        <v>M</v>
      </c>
      <c r="P7" s="52">
        <v>100</v>
      </c>
      <c r="Q7" s="127" t="s">
        <v>111</v>
      </c>
      <c r="R7" s="128"/>
      <c r="S7" s="136"/>
      <c r="T7" s="136"/>
      <c r="U7" s="136"/>
      <c r="V7" s="136"/>
    </row>
    <row r="8" spans="1:22">
      <c r="A8" s="71" t="s">
        <v>4</v>
      </c>
      <c r="B8" s="57" t="s">
        <v>15</v>
      </c>
      <c r="C8" s="119">
        <v>7.4999999999999997E-2</v>
      </c>
      <c r="D8" s="52">
        <v>1.3</v>
      </c>
      <c r="E8" s="53" t="e">
        <f>B8/10^D8</f>
        <v>#VALUE!</v>
      </c>
      <c r="F8" s="55" t="e">
        <f>E8*1000</f>
        <v>#VALUE!</v>
      </c>
      <c r="G8" s="54">
        <v>1.6</v>
      </c>
      <c r="H8" s="52">
        <v>3.5</v>
      </c>
      <c r="I8" s="52">
        <v>17.5</v>
      </c>
      <c r="J8" s="55" t="e">
        <f>F8/(1+(I8/1000^2)*(10^G8))</f>
        <v>#VALUE!</v>
      </c>
      <c r="K8" s="53" t="e">
        <f>F8-J8</f>
        <v>#VALUE!</v>
      </c>
      <c r="L8" s="55" t="e">
        <f>J8*100/F8</f>
        <v>#VALUE!</v>
      </c>
      <c r="M8" s="55" t="e">
        <f>K8*100/F8</f>
        <v>#VALUE!</v>
      </c>
      <c r="N8" s="52">
        <v>25</v>
      </c>
      <c r="O8" s="52" t="str">
        <f>IF(N8&lt;5,"F","M")</f>
        <v>M</v>
      </c>
      <c r="P8" s="52">
        <v>100</v>
      </c>
      <c r="Q8" s="127" t="s">
        <v>111</v>
      </c>
      <c r="R8" s="128"/>
      <c r="S8" s="136"/>
      <c r="T8" s="136"/>
      <c r="U8" s="136"/>
      <c r="V8" s="136"/>
    </row>
    <row r="9" spans="1:22">
      <c r="A9" s="71" t="s">
        <v>5</v>
      </c>
      <c r="B9" s="57" t="s">
        <v>15</v>
      </c>
      <c r="C9" s="119">
        <v>7.4999999999999997E-2</v>
      </c>
      <c r="D9" s="52">
        <v>1.3</v>
      </c>
      <c r="E9" s="53" t="e">
        <f>B9/10^D9</f>
        <v>#VALUE!</v>
      </c>
      <c r="F9" s="55" t="e">
        <f>E9*1000</f>
        <v>#VALUE!</v>
      </c>
      <c r="G9" s="54">
        <v>1.6</v>
      </c>
      <c r="H9" s="52">
        <v>3.5</v>
      </c>
      <c r="I9" s="52">
        <v>17.5</v>
      </c>
      <c r="J9" s="55" t="e">
        <f>F9/(1+(I9/1000^2)*(10^G9))</f>
        <v>#VALUE!</v>
      </c>
      <c r="K9" s="53" t="e">
        <f>F9-J9</f>
        <v>#VALUE!</v>
      </c>
      <c r="L9" s="55" t="e">
        <f>J9*100/F9</f>
        <v>#VALUE!</v>
      </c>
      <c r="M9" s="55" t="e">
        <f>K9*100/F9</f>
        <v>#VALUE!</v>
      </c>
      <c r="N9" s="52">
        <v>25</v>
      </c>
      <c r="O9" s="52" t="str">
        <f>IF(N9&lt;5,"F","M")</f>
        <v>M</v>
      </c>
      <c r="P9" s="52">
        <v>100</v>
      </c>
      <c r="Q9" s="127" t="s">
        <v>111</v>
      </c>
      <c r="R9" s="128"/>
      <c r="S9" s="136"/>
      <c r="T9" s="136"/>
      <c r="U9" s="136"/>
      <c r="V9" s="136"/>
    </row>
    <row r="10" spans="1:22">
      <c r="A10" s="71" t="s">
        <v>6</v>
      </c>
      <c r="B10" s="57" t="s">
        <v>15</v>
      </c>
      <c r="C10" s="119">
        <v>7.4999999999999997E-2</v>
      </c>
      <c r="D10" s="52">
        <v>1.3</v>
      </c>
      <c r="E10" s="53" t="e">
        <f>B10/10^D10</f>
        <v>#VALUE!</v>
      </c>
      <c r="F10" s="55" t="e">
        <f>E10*1000</f>
        <v>#VALUE!</v>
      </c>
      <c r="G10" s="54">
        <v>1.6</v>
      </c>
      <c r="H10" s="52">
        <v>3.5</v>
      </c>
      <c r="I10" s="52">
        <v>17.5</v>
      </c>
      <c r="J10" s="55" t="e">
        <f>F10/(1+(I10/1000^2)*(10^G10))</f>
        <v>#VALUE!</v>
      </c>
      <c r="K10" s="53" t="e">
        <f>F10-J10</f>
        <v>#VALUE!</v>
      </c>
      <c r="L10" s="55" t="e">
        <f>J10*100/F10</f>
        <v>#VALUE!</v>
      </c>
      <c r="M10" s="55" t="e">
        <f>K10*100/F10</f>
        <v>#VALUE!</v>
      </c>
      <c r="N10" s="52">
        <v>25</v>
      </c>
      <c r="O10" s="52" t="str">
        <f>IF(N10&lt;5,"F","M")</f>
        <v>M</v>
      </c>
      <c r="P10" s="52">
        <v>100</v>
      </c>
      <c r="Q10" s="127" t="s">
        <v>111</v>
      </c>
      <c r="R10" s="128"/>
      <c r="S10" s="136"/>
      <c r="T10" s="136"/>
      <c r="U10" s="136"/>
      <c r="V10" s="136"/>
    </row>
  </sheetData>
  <mergeCells count="5">
    <mergeCell ref="Q6:V6"/>
    <mergeCell ref="Q7:V7"/>
    <mergeCell ref="Q8:V8"/>
    <mergeCell ref="Q9:V9"/>
    <mergeCell ref="Q10:V10"/>
  </mergeCells>
  <conditionalFormatting sqref="U6:U10">
    <cfRule type="cellIs" dxfId="3" priority="1" stopIfTrue="1" operator="greaterThanOrEqual">
      <formula>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0C85-1597-4FA6-B93E-66F8E751C791}">
  <dimension ref="A1:V9"/>
  <sheetViews>
    <sheetView workbookViewId="0">
      <selection activeCell="C4" sqref="C4"/>
    </sheetView>
  </sheetViews>
  <sheetFormatPr defaultRowHeight="15"/>
  <cols>
    <col min="1" max="1" width="20.7109375" customWidth="1"/>
    <col min="2" max="2" width="10.28515625" bestFit="1" customWidth="1"/>
  </cols>
  <sheetData>
    <row r="1" spans="1:22" ht="15.75">
      <c r="A1" s="33" t="s">
        <v>112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2" ht="41.25">
      <c r="A3" s="35" t="s">
        <v>48</v>
      </c>
      <c r="B3" s="36" t="s">
        <v>39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57">
        <v>10</v>
      </c>
      <c r="C6" s="119">
        <v>7.4999999999999997E-2</v>
      </c>
      <c r="D6" s="47">
        <v>4.0999999999999996</v>
      </c>
      <c r="E6" s="68">
        <f>B6/10^D6</f>
        <v>7.9432823472428153E-4</v>
      </c>
      <c r="F6" s="50">
        <f>E6*1000</f>
        <v>0.79432823472428149</v>
      </c>
      <c r="G6" s="49">
        <v>5.0999999999999996</v>
      </c>
      <c r="H6" s="47">
        <v>3.5</v>
      </c>
      <c r="I6" s="47">
        <v>17.5</v>
      </c>
      <c r="J6" s="50">
        <f>F6/(1+(I6/1000^2)*(10^G6))</f>
        <v>0.24798582819192239</v>
      </c>
      <c r="K6" s="50">
        <f>F6-J6</f>
        <v>0.5463424065323591</v>
      </c>
      <c r="L6" s="50">
        <f>J6*100/F6</f>
        <v>31.219566087563347</v>
      </c>
      <c r="M6" s="50">
        <f>K6*100/F6</f>
        <v>68.780433912436649</v>
      </c>
      <c r="N6" s="47">
        <v>25</v>
      </c>
      <c r="O6" s="47" t="str">
        <f>IF(N6&lt;5,"F","M")</f>
        <v>M</v>
      </c>
      <c r="P6" s="47">
        <v>100</v>
      </c>
      <c r="Q6" s="54">
        <f>0.978*EXP(0.8473*LN(P6)+0.884)</f>
        <v>117.18045413475284</v>
      </c>
      <c r="R6" s="54">
        <f>0.986*EXP(0.8473*LN(P6)+0.884)</f>
        <v>118.1389854569185</v>
      </c>
      <c r="S6" s="58">
        <v>90</v>
      </c>
      <c r="T6" s="58">
        <v>81</v>
      </c>
      <c r="U6" s="59">
        <f>IF(O6="F",J6/Q6,J6/S6)</f>
        <v>2.7553980910213598E-3</v>
      </c>
      <c r="V6" s="65">
        <f>IF(O6="F",J6/R6,J6/T6)</f>
        <v>3.0615534344681774E-3</v>
      </c>
    </row>
    <row r="7" spans="1:22">
      <c r="A7" s="73" t="s">
        <v>3</v>
      </c>
      <c r="B7" s="57">
        <v>8.1</v>
      </c>
      <c r="C7" s="119">
        <v>7.4999999999999997E-2</v>
      </c>
      <c r="D7" s="52">
        <v>4.0999999999999996</v>
      </c>
      <c r="E7" s="69">
        <f>B7/10^D7</f>
        <v>6.4340587012666798E-4</v>
      </c>
      <c r="F7" s="55">
        <f>E7*1000</f>
        <v>0.64340587012666794</v>
      </c>
      <c r="G7" s="54">
        <v>5.0999999999999996</v>
      </c>
      <c r="H7" s="52">
        <v>3.5</v>
      </c>
      <c r="I7" s="52">
        <v>17.5</v>
      </c>
      <c r="J7" s="55">
        <f>F7/(1+(I7/1000^2)*(10^G7))</f>
        <v>0.20086852083545712</v>
      </c>
      <c r="K7" s="55">
        <f>F7-J7</f>
        <v>0.4425373492912108</v>
      </c>
      <c r="L7" s="55">
        <f>J7*100/F7</f>
        <v>31.219566087563351</v>
      </c>
      <c r="M7" s="55">
        <f>K7*100/F7</f>
        <v>68.780433912436649</v>
      </c>
      <c r="N7" s="52">
        <v>25</v>
      </c>
      <c r="O7" s="52" t="str">
        <f>IF(N7&lt;5,"F","M")</f>
        <v>M</v>
      </c>
      <c r="P7" s="52">
        <v>100</v>
      </c>
      <c r="Q7" s="54">
        <f>0.978*EXP(0.8473*LN(P7)+0.884)</f>
        <v>117.18045413475284</v>
      </c>
      <c r="R7" s="54">
        <f>0.986*EXP(0.8473*LN(P7)+0.884)</f>
        <v>118.1389854569185</v>
      </c>
      <c r="S7" s="61">
        <v>90</v>
      </c>
      <c r="T7" s="61">
        <v>81</v>
      </c>
      <c r="U7" s="62">
        <f>IF(O7="F",J7/Q7,J7/S7)</f>
        <v>2.2318724537273012E-3</v>
      </c>
      <c r="V7" s="62">
        <f>IF(O7="F",J7/R7,J7/T7)</f>
        <v>2.4798582819192238E-3</v>
      </c>
    </row>
    <row r="8" spans="1:22">
      <c r="A8" s="71" t="s">
        <v>4</v>
      </c>
      <c r="B8" s="57">
        <v>1.7</v>
      </c>
      <c r="C8" s="119">
        <v>7.4999999999999997E-2</v>
      </c>
      <c r="D8" s="52">
        <v>4.0999999999999996</v>
      </c>
      <c r="E8" s="69">
        <f>B8/10^D8</f>
        <v>1.3503579990312785E-4</v>
      </c>
      <c r="F8" s="55">
        <f>E8*1000</f>
        <v>0.13503579990312786</v>
      </c>
      <c r="G8" s="54">
        <v>5.0999999999999996</v>
      </c>
      <c r="H8" s="52">
        <v>3.5</v>
      </c>
      <c r="I8" s="52">
        <v>17.5</v>
      </c>
      <c r="J8" s="55">
        <f>F8/(1+(I8/1000^2)*(10^G8))</f>
        <v>4.2157590792626806E-2</v>
      </c>
      <c r="K8" s="55">
        <f>F8-J8</f>
        <v>9.2878209110501056E-2</v>
      </c>
      <c r="L8" s="55">
        <f>J8*100/F8</f>
        <v>31.219566087563344</v>
      </c>
      <c r="M8" s="55">
        <f>K8*100/F8</f>
        <v>68.780433912436663</v>
      </c>
      <c r="N8" s="52">
        <v>25</v>
      </c>
      <c r="O8" s="52" t="str">
        <f>IF(N8&lt;5,"F","M")</f>
        <v>M</v>
      </c>
      <c r="P8" s="52">
        <v>100</v>
      </c>
      <c r="Q8" s="54">
        <f>0.978*EXP(0.8473*LN(P8)+0.884)</f>
        <v>117.18045413475284</v>
      </c>
      <c r="R8" s="54">
        <f>0.986*EXP(0.8473*LN(P8)+0.884)</f>
        <v>118.1389854569185</v>
      </c>
      <c r="S8" s="61">
        <v>90</v>
      </c>
      <c r="T8" s="61">
        <v>81</v>
      </c>
      <c r="U8" s="62">
        <f>IF(O8="F",J8/Q8,J8/S8)</f>
        <v>4.6841767547363118E-4</v>
      </c>
      <c r="V8" s="62">
        <f>IF(O8="F",J8/R8,J8/T8)</f>
        <v>5.2046408385959017E-4</v>
      </c>
    </row>
    <row r="9" spans="1:22">
      <c r="A9" s="71" t="s">
        <v>5</v>
      </c>
      <c r="B9" s="57">
        <v>2.4</v>
      </c>
      <c r="C9" s="119">
        <v>7.4999999999999997E-2</v>
      </c>
      <c r="D9" s="52">
        <v>4.0999999999999996</v>
      </c>
      <c r="E9" s="69">
        <f>B9/10^D9</f>
        <v>1.9063877633382757E-4</v>
      </c>
      <c r="F9" s="55">
        <f>E9*1000</f>
        <v>0.19063877633382759</v>
      </c>
      <c r="G9" s="54">
        <v>5.0999999999999996</v>
      </c>
      <c r="H9" s="52">
        <v>3.5</v>
      </c>
      <c r="I9" s="52">
        <v>17.5</v>
      </c>
      <c r="J9" s="55">
        <f>F9/(1+(I9/1000^2)*(10^G9))</f>
        <v>5.9516598766061378E-2</v>
      </c>
      <c r="K9" s="55">
        <f>F9-J9</f>
        <v>0.1311221775677662</v>
      </c>
      <c r="L9" s="55">
        <f>J9*100/F9</f>
        <v>31.219566087563351</v>
      </c>
      <c r="M9" s="55">
        <f>K9*100/F9</f>
        <v>68.780433912436649</v>
      </c>
      <c r="N9" s="52">
        <v>25</v>
      </c>
      <c r="O9" s="52" t="str">
        <f>IF(N9&lt;5,"F","M")</f>
        <v>M</v>
      </c>
      <c r="P9" s="52">
        <v>100</v>
      </c>
      <c r="Q9" s="54">
        <f>0.978*EXP(0.8473*LN(P9)+0.884)</f>
        <v>117.18045413475284</v>
      </c>
      <c r="R9" s="54">
        <f>0.986*EXP(0.8473*LN(P9)+0.884)</f>
        <v>118.1389854569185</v>
      </c>
      <c r="S9" s="61">
        <v>90</v>
      </c>
      <c r="T9" s="61">
        <v>81</v>
      </c>
      <c r="U9" s="62">
        <f>IF(O9="F",J9/Q9,J9/S9)</f>
        <v>6.6129554184512639E-4</v>
      </c>
      <c r="V9" s="62">
        <f>IF(O9="F",J9/R9,J9/T9)</f>
        <v>7.3477282427236268E-4</v>
      </c>
    </row>
  </sheetData>
  <conditionalFormatting sqref="U6:V7">
    <cfRule type="cellIs" dxfId="2" priority="4" stopIfTrue="1" operator="greaterThanOrEqual">
      <formula>1</formula>
    </cfRule>
  </conditionalFormatting>
  <conditionalFormatting sqref="U8:V8">
    <cfRule type="cellIs" dxfId="1" priority="3" stopIfTrue="1" operator="greaterThanOrEqual">
      <formula>1</formula>
    </cfRule>
  </conditionalFormatting>
  <conditionalFormatting sqref="U9:V9">
    <cfRule type="cellIs" dxfId="0" priority="2" stopIfTrue="1" operator="greaterThanOr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3A0F-CC78-4E20-B2E1-60B57D105405}">
  <dimension ref="A1:Q17"/>
  <sheetViews>
    <sheetView zoomScale="85" zoomScaleNormal="85" workbookViewId="0">
      <selection activeCell="S14" sqref="S14"/>
    </sheetView>
  </sheetViews>
  <sheetFormatPr defaultRowHeight="15"/>
  <cols>
    <col min="1" max="1" width="21.140625" customWidth="1"/>
    <col min="2" max="2" width="10.7109375" bestFit="1" customWidth="1"/>
    <col min="8" max="8" width="10.28515625" customWidth="1"/>
    <col min="9" max="9" width="8.5703125" customWidth="1"/>
    <col min="10" max="10" width="21.5703125" style="2" customWidth="1"/>
    <col min="11" max="11" width="13" customWidth="1"/>
    <col min="12" max="12" width="11.140625" customWidth="1"/>
    <col min="13" max="13" width="10" customWidth="1"/>
    <col min="14" max="14" width="10.5703125" bestFit="1" customWidth="1"/>
    <col min="15" max="15" width="10.85546875" customWidth="1"/>
    <col min="16" max="16" width="12.140625" customWidth="1"/>
  </cols>
  <sheetData>
    <row r="1" spans="1:17" ht="36" customHeight="1" thickBot="1">
      <c r="A1" s="21" t="s">
        <v>45</v>
      </c>
      <c r="L1" s="22"/>
    </row>
    <row r="2" spans="1:17" ht="15.75">
      <c r="A2" s="23"/>
      <c r="B2" s="24" t="s">
        <v>20</v>
      </c>
      <c r="C2" s="24" t="s">
        <v>25</v>
      </c>
      <c r="D2" s="24" t="s">
        <v>27</v>
      </c>
      <c r="E2" s="24" t="s">
        <v>31</v>
      </c>
      <c r="F2" s="24" t="s">
        <v>34</v>
      </c>
      <c r="G2" s="24" t="s">
        <v>39</v>
      </c>
      <c r="H2" s="25" t="s">
        <v>46</v>
      </c>
      <c r="J2" s="26"/>
      <c r="K2" s="24" t="s">
        <v>47</v>
      </c>
      <c r="L2" s="24" t="s">
        <v>47</v>
      </c>
      <c r="M2" s="24" t="s">
        <v>47</v>
      </c>
      <c r="N2" s="24" t="s">
        <v>47</v>
      </c>
      <c r="O2" s="24" t="s">
        <v>47</v>
      </c>
      <c r="P2" s="25" t="s">
        <v>47</v>
      </c>
    </row>
    <row r="3" spans="1:17" ht="16.5" thickBot="1">
      <c r="A3" s="27" t="s">
        <v>48</v>
      </c>
      <c r="B3" s="92" t="s">
        <v>49</v>
      </c>
      <c r="C3" s="92" t="s">
        <v>49</v>
      </c>
      <c r="D3" s="92" t="s">
        <v>49</v>
      </c>
      <c r="E3" s="92" t="s">
        <v>49</v>
      </c>
      <c r="F3" s="92" t="s">
        <v>49</v>
      </c>
      <c r="G3" s="92" t="s">
        <v>49</v>
      </c>
      <c r="H3" s="28" t="s">
        <v>50</v>
      </c>
      <c r="I3" s="1"/>
      <c r="J3" s="29" t="s">
        <v>48</v>
      </c>
      <c r="K3" s="92" t="s">
        <v>51</v>
      </c>
      <c r="L3" s="92" t="s">
        <v>52</v>
      </c>
      <c r="M3" s="92" t="s">
        <v>53</v>
      </c>
      <c r="N3" s="92" t="s">
        <v>54</v>
      </c>
      <c r="O3" s="92" t="s">
        <v>55</v>
      </c>
      <c r="P3" s="100" t="s">
        <v>56</v>
      </c>
      <c r="Q3" s="1"/>
    </row>
    <row r="4" spans="1:17">
      <c r="A4" s="103" t="s">
        <v>2</v>
      </c>
      <c r="B4" s="97">
        <v>0</v>
      </c>
      <c r="C4" s="97">
        <v>2.441927768338837E-2</v>
      </c>
      <c r="D4" s="98">
        <v>9.5087380630480062E-5</v>
      </c>
      <c r="E4" s="97">
        <v>6.2562780549599486E-3</v>
      </c>
      <c r="F4" s="97">
        <v>5.7849861254992356E-2</v>
      </c>
      <c r="G4" s="97">
        <v>2.7553980910213598E-3</v>
      </c>
      <c r="H4" s="99">
        <f>SUM(B4:G4)</f>
        <v>9.1375902464992512E-2</v>
      </c>
      <c r="J4" s="103" t="s">
        <v>2</v>
      </c>
      <c r="K4" s="101">
        <f t="shared" ref="K4:K8" si="0">B4*100/$H4</f>
        <v>0</v>
      </c>
      <c r="L4" s="101">
        <f t="shared" ref="L4:L8" si="1">C4*100/$H4</f>
        <v>26.723979763421507</v>
      </c>
      <c r="M4" s="101">
        <f t="shared" ref="M4:M8" si="2">D4*100/$H4</f>
        <v>0.10406176909378212</v>
      </c>
      <c r="N4" s="101">
        <f t="shared" ref="N4:N8" si="3">E4*100/$H4</f>
        <v>6.8467483069256945</v>
      </c>
      <c r="O4" s="101">
        <f t="shared" ref="O4:O8" si="4">F4*100/$H4</f>
        <v>63.309756395736301</v>
      </c>
      <c r="P4" s="99">
        <f t="shared" ref="P4:P8" si="5">G4*100/$H4</f>
        <v>3.0154537648227273</v>
      </c>
      <c r="Q4" s="31"/>
    </row>
    <row r="5" spans="1:17">
      <c r="A5" s="104" t="s">
        <v>3</v>
      </c>
      <c r="B5" s="89">
        <v>0</v>
      </c>
      <c r="C5" s="89">
        <v>2.0756386030880116E-2</v>
      </c>
      <c r="D5" s="91">
        <v>8.5078182669376886E-5</v>
      </c>
      <c r="E5" s="89">
        <v>5.3178363467159548E-3</v>
      </c>
      <c r="F5" s="89">
        <v>5.6535091681015254E-2</v>
      </c>
      <c r="G5" s="89">
        <v>2.2318724537273012E-3</v>
      </c>
      <c r="H5" s="93">
        <f t="shared" ref="H5:H8" si="6">SUM(B5:G5)</f>
        <v>8.4926264695007997E-2</v>
      </c>
      <c r="J5" s="104" t="s">
        <v>3</v>
      </c>
      <c r="K5" s="90">
        <f t="shared" si="0"/>
        <v>0</v>
      </c>
      <c r="L5" s="90">
        <f t="shared" si="1"/>
        <v>24.440479167924813</v>
      </c>
      <c r="M5" s="90">
        <f t="shared" si="2"/>
        <v>0.10017888220436219</v>
      </c>
      <c r="N5" s="90">
        <f t="shared" si="3"/>
        <v>6.2617099266212515</v>
      </c>
      <c r="O5" s="90">
        <f t="shared" si="4"/>
        <v>66.569619992174708</v>
      </c>
      <c r="P5" s="93">
        <f t="shared" si="5"/>
        <v>2.6280120310748711</v>
      </c>
      <c r="Q5" s="31"/>
    </row>
    <row r="6" spans="1:17">
      <c r="A6" s="105" t="s">
        <v>4</v>
      </c>
      <c r="B6" s="89">
        <v>0</v>
      </c>
      <c r="C6" s="89">
        <v>0</v>
      </c>
      <c r="D6" s="91">
        <v>2.9026674087199179E-5</v>
      </c>
      <c r="E6" s="89">
        <v>1.17305213530499E-3</v>
      </c>
      <c r="F6" s="89">
        <v>4.4702165515221375E-2</v>
      </c>
      <c r="G6" s="89">
        <v>4.6841767547363118E-4</v>
      </c>
      <c r="H6" s="93">
        <f t="shared" si="6"/>
        <v>4.6372662000087196E-2</v>
      </c>
      <c r="J6" s="105" t="s">
        <v>4</v>
      </c>
      <c r="K6" s="90">
        <f t="shared" si="0"/>
        <v>0</v>
      </c>
      <c r="L6" s="90">
        <f t="shared" si="1"/>
        <v>0</v>
      </c>
      <c r="M6" s="90">
        <f t="shared" si="2"/>
        <v>6.2594366670484861E-2</v>
      </c>
      <c r="N6" s="90">
        <f t="shared" si="3"/>
        <v>2.529620006077685</v>
      </c>
      <c r="O6" s="90">
        <f t="shared" si="4"/>
        <v>96.397669633753864</v>
      </c>
      <c r="P6" s="93">
        <f t="shared" si="5"/>
        <v>1.0101159934979589</v>
      </c>
      <c r="Q6" s="31"/>
    </row>
    <row r="7" spans="1:17">
      <c r="A7" s="105" t="s">
        <v>5</v>
      </c>
      <c r="B7" s="89">
        <v>0</v>
      </c>
      <c r="C7" s="89">
        <v>0</v>
      </c>
      <c r="D7" s="91">
        <v>3.5032192863861077E-5</v>
      </c>
      <c r="E7" s="89">
        <v>1.3920218672285884E-3</v>
      </c>
      <c r="F7" s="89">
        <v>5.6535091681015254E-2</v>
      </c>
      <c r="G7" s="89">
        <v>6.6129554184512639E-4</v>
      </c>
      <c r="H7" s="93">
        <f t="shared" si="6"/>
        <v>5.8623441282952826E-2</v>
      </c>
      <c r="J7" s="105" t="s">
        <v>5</v>
      </c>
      <c r="K7" s="90">
        <f t="shared" si="0"/>
        <v>0</v>
      </c>
      <c r="L7" s="90">
        <f t="shared" si="1"/>
        <v>0</v>
      </c>
      <c r="M7" s="90">
        <f t="shared" si="2"/>
        <v>5.9757994578950327E-2</v>
      </c>
      <c r="N7" s="90">
        <f t="shared" si="3"/>
        <v>2.374514079632128</v>
      </c>
      <c r="O7" s="90">
        <f t="shared" si="4"/>
        <v>96.437688480521103</v>
      </c>
      <c r="P7" s="93">
        <f t="shared" si="5"/>
        <v>1.1280394452678184</v>
      </c>
      <c r="Q7" s="31"/>
    </row>
    <row r="8" spans="1:17" ht="15.75" thickBot="1">
      <c r="A8" s="106" t="s">
        <v>6</v>
      </c>
      <c r="B8" s="94">
        <v>0</v>
      </c>
      <c r="C8" s="94">
        <v>0</v>
      </c>
      <c r="D8" s="95">
        <v>3.9536331946357495E-5</v>
      </c>
      <c r="E8" s="94">
        <v>7.8203475686999357E-4</v>
      </c>
      <c r="F8" s="94">
        <v>6.4423709124877861E-3</v>
      </c>
      <c r="G8" s="94">
        <v>0</v>
      </c>
      <c r="H8" s="96">
        <f t="shared" si="6"/>
        <v>7.2639420013041371E-3</v>
      </c>
      <c r="J8" s="106" t="s">
        <v>6</v>
      </c>
      <c r="K8" s="102">
        <f t="shared" si="0"/>
        <v>0</v>
      </c>
      <c r="L8" s="102">
        <f t="shared" si="1"/>
        <v>0</v>
      </c>
      <c r="M8" s="102">
        <f t="shared" si="2"/>
        <v>0.5442820432660298</v>
      </c>
      <c r="N8" s="102">
        <f t="shared" si="3"/>
        <v>10.765982943277773</v>
      </c>
      <c r="O8" s="102">
        <f t="shared" si="4"/>
        <v>88.6897350134562</v>
      </c>
      <c r="P8" s="96">
        <f t="shared" si="5"/>
        <v>0</v>
      </c>
      <c r="Q8" s="31"/>
    </row>
    <row r="9" spans="1:17">
      <c r="B9" s="87"/>
      <c r="C9" s="87"/>
      <c r="D9" s="87"/>
      <c r="E9" s="87"/>
      <c r="F9" s="87"/>
      <c r="G9" s="87"/>
      <c r="H9" s="88"/>
      <c r="J9" s="86"/>
      <c r="K9" s="88"/>
      <c r="L9" s="88"/>
      <c r="M9" s="88"/>
      <c r="N9" s="88"/>
      <c r="O9" s="88"/>
      <c r="P9" s="88"/>
      <c r="Q9" s="31"/>
    </row>
    <row r="10" spans="1:17" ht="30.75" customHeight="1" thickBot="1">
      <c r="A10" s="21" t="s">
        <v>57</v>
      </c>
      <c r="Q10" s="31"/>
    </row>
    <row r="11" spans="1:17">
      <c r="A11" s="23"/>
      <c r="B11" s="24" t="s">
        <v>20</v>
      </c>
      <c r="C11" s="24" t="s">
        <v>25</v>
      </c>
      <c r="D11" s="24" t="s">
        <v>27</v>
      </c>
      <c r="E11" s="24" t="s">
        <v>31</v>
      </c>
      <c r="F11" s="24" t="s">
        <v>34</v>
      </c>
      <c r="G11" s="25" t="s">
        <v>39</v>
      </c>
      <c r="H11" s="108" t="s">
        <v>46</v>
      </c>
      <c r="I11" s="1"/>
      <c r="J11" s="26"/>
      <c r="K11" s="24" t="s">
        <v>58</v>
      </c>
      <c r="L11" s="32" t="s">
        <v>58</v>
      </c>
      <c r="M11" s="24" t="s">
        <v>58</v>
      </c>
      <c r="N11" s="24" t="s">
        <v>58</v>
      </c>
      <c r="O11" s="24" t="s">
        <v>58</v>
      </c>
      <c r="P11" s="25" t="s">
        <v>58</v>
      </c>
    </row>
    <row r="12" spans="1:17" ht="18.75" thickBot="1">
      <c r="A12" s="27" t="s">
        <v>48</v>
      </c>
      <c r="B12" s="92" t="s">
        <v>59</v>
      </c>
      <c r="C12" s="92" t="s">
        <v>59</v>
      </c>
      <c r="D12" s="92" t="s">
        <v>59</v>
      </c>
      <c r="E12" s="92" t="s">
        <v>59</v>
      </c>
      <c r="F12" s="92" t="s">
        <v>59</v>
      </c>
      <c r="G12" s="100" t="s">
        <v>59</v>
      </c>
      <c r="H12" s="109" t="s">
        <v>118</v>
      </c>
      <c r="I12" s="1"/>
      <c r="J12" s="29" t="s">
        <v>48</v>
      </c>
      <c r="K12" s="92" t="s">
        <v>51</v>
      </c>
      <c r="L12" s="107" t="s">
        <v>52</v>
      </c>
      <c r="M12" s="92" t="s">
        <v>53</v>
      </c>
      <c r="N12" s="92" t="s">
        <v>54</v>
      </c>
      <c r="O12" s="92" t="s">
        <v>55</v>
      </c>
      <c r="P12" s="100" t="s">
        <v>56</v>
      </c>
    </row>
    <row r="13" spans="1:17">
      <c r="A13" s="114" t="s">
        <v>2</v>
      </c>
      <c r="B13" s="97">
        <v>0</v>
      </c>
      <c r="C13" s="97">
        <v>3.7810494477504571E-2</v>
      </c>
      <c r="D13" s="97">
        <v>2.4652283867161499E-3</v>
      </c>
      <c r="E13" s="97">
        <v>5.6459094642321489E-2</v>
      </c>
      <c r="F13" s="101">
        <v>0</v>
      </c>
      <c r="G13" s="101">
        <v>3.0615534344681774E-3</v>
      </c>
      <c r="H13" s="99">
        <f>SUM(B13:G13)</f>
        <v>9.979637094101039E-2</v>
      </c>
      <c r="I13" s="30"/>
      <c r="J13" s="114" t="s">
        <v>2</v>
      </c>
      <c r="K13" s="101">
        <f>B13*100/$H13</f>
        <v>0</v>
      </c>
      <c r="L13" s="101">
        <f t="shared" ref="L13:P17" si="7">C13*100/$H13</f>
        <v>37.887644731945556</v>
      </c>
      <c r="M13" s="101">
        <f t="shared" si="7"/>
        <v>2.4702585509580759</v>
      </c>
      <c r="N13" s="101">
        <f t="shared" si="7"/>
        <v>56.57429634960819</v>
      </c>
      <c r="O13" s="101">
        <f t="shared" si="7"/>
        <v>0</v>
      </c>
      <c r="P13" s="99">
        <f t="shared" si="7"/>
        <v>3.0678003674881733</v>
      </c>
      <c r="Q13" s="31"/>
    </row>
    <row r="14" spans="1:17">
      <c r="A14" s="110" t="s">
        <v>3</v>
      </c>
      <c r="B14" s="89">
        <v>0</v>
      </c>
      <c r="C14" s="89">
        <v>3.2138920305878886E-2</v>
      </c>
      <c r="D14" s="89">
        <v>2.2057306617986601E-3</v>
      </c>
      <c r="E14" s="89">
        <v>4.7990230445973253E-2</v>
      </c>
      <c r="F14" s="90">
        <v>0</v>
      </c>
      <c r="G14" s="90">
        <v>2.4798582819192238E-3</v>
      </c>
      <c r="H14" s="93">
        <f t="shared" ref="H14:H17" si="8">SUM(B14:G14)</f>
        <v>8.4814739695570032E-2</v>
      </c>
      <c r="I14" s="30"/>
      <c r="J14" s="110" t="s">
        <v>3</v>
      </c>
      <c r="K14" s="90">
        <f t="shared" ref="K14:K17" si="9">B14*100/$H14</f>
        <v>0</v>
      </c>
      <c r="L14" s="90">
        <f t="shared" si="7"/>
        <v>37.893083703654327</v>
      </c>
      <c r="M14" s="90">
        <f t="shared" si="7"/>
        <v>2.6006454417189797</v>
      </c>
      <c r="N14" s="90">
        <f t="shared" si="7"/>
        <v>56.582417888950772</v>
      </c>
      <c r="O14" s="90">
        <f t="shared" si="7"/>
        <v>0</v>
      </c>
      <c r="P14" s="93">
        <f t="shared" si="7"/>
        <v>2.9238529656759056</v>
      </c>
      <c r="Q14" s="31"/>
    </row>
    <row r="15" spans="1:17">
      <c r="A15" s="111" t="s">
        <v>4</v>
      </c>
      <c r="B15" s="89">
        <v>0</v>
      </c>
      <c r="C15" s="89">
        <v>0</v>
      </c>
      <c r="D15" s="82">
        <v>7.5254340226071947E-4</v>
      </c>
      <c r="E15" s="89">
        <v>1.0586080245435277E-2</v>
      </c>
      <c r="F15" s="90">
        <v>0</v>
      </c>
      <c r="G15" s="82">
        <v>5.2046408385959017E-4</v>
      </c>
      <c r="H15" s="93">
        <f t="shared" si="8"/>
        <v>1.1859087731555586E-2</v>
      </c>
      <c r="J15" s="110" t="s">
        <v>4</v>
      </c>
      <c r="K15" s="90">
        <f t="shared" si="9"/>
        <v>0</v>
      </c>
      <c r="L15" s="90">
        <f t="shared" si="7"/>
        <v>0</v>
      </c>
      <c r="M15" s="90">
        <f t="shared" si="7"/>
        <v>6.3457107266210135</v>
      </c>
      <c r="N15" s="90">
        <f t="shared" si="7"/>
        <v>89.265553009334837</v>
      </c>
      <c r="O15" s="90">
        <f t="shared" si="7"/>
        <v>0</v>
      </c>
      <c r="P15" s="93">
        <f t="shared" si="7"/>
        <v>4.3887362640441454</v>
      </c>
      <c r="Q15" s="31"/>
    </row>
    <row r="16" spans="1:17">
      <c r="A16" s="111" t="s">
        <v>5</v>
      </c>
      <c r="B16" s="89">
        <v>0</v>
      </c>
      <c r="C16" s="89">
        <v>0</v>
      </c>
      <c r="D16" s="82">
        <v>9.0824203721121303E-4</v>
      </c>
      <c r="E16" s="89">
        <v>1.2562148557916529E-2</v>
      </c>
      <c r="F16" s="90">
        <v>0</v>
      </c>
      <c r="G16" s="82">
        <v>7.3477282427236268E-4</v>
      </c>
      <c r="H16" s="93">
        <f t="shared" si="8"/>
        <v>1.4205163419400105E-2</v>
      </c>
      <c r="J16" s="110" t="s">
        <v>5</v>
      </c>
      <c r="K16" s="90">
        <f t="shared" si="9"/>
        <v>0</v>
      </c>
      <c r="L16" s="90">
        <f t="shared" si="7"/>
        <v>0</v>
      </c>
      <c r="M16" s="90">
        <f t="shared" si="7"/>
        <v>6.3937457838099894</v>
      </c>
      <c r="N16" s="90">
        <f t="shared" si="7"/>
        <v>88.433678564797816</v>
      </c>
      <c r="O16" s="90">
        <f t="shared" si="7"/>
        <v>0</v>
      </c>
      <c r="P16" s="93">
        <f t="shared" si="7"/>
        <v>5.1725756513922079</v>
      </c>
      <c r="Q16" s="31"/>
    </row>
    <row r="17" spans="1:17" ht="15.75" thickBot="1">
      <c r="A17" s="112" t="s">
        <v>6</v>
      </c>
      <c r="B17" s="94">
        <v>0</v>
      </c>
      <c r="C17" s="94">
        <v>0</v>
      </c>
      <c r="D17" s="113">
        <v>1.0250160134240834E-3</v>
      </c>
      <c r="E17" s="94">
        <v>7.0573868302901861E-3</v>
      </c>
      <c r="F17" s="102">
        <v>0</v>
      </c>
      <c r="G17" s="102">
        <v>0</v>
      </c>
      <c r="H17" s="96">
        <f t="shared" si="8"/>
        <v>8.0824028437142693E-3</v>
      </c>
      <c r="J17" s="115" t="s">
        <v>6</v>
      </c>
      <c r="K17" s="102">
        <f t="shared" si="9"/>
        <v>0</v>
      </c>
      <c r="L17" s="102">
        <f t="shared" si="7"/>
        <v>0</v>
      </c>
      <c r="M17" s="102">
        <f t="shared" si="7"/>
        <v>12.682070335324156</v>
      </c>
      <c r="N17" s="102">
        <f t="shared" si="7"/>
        <v>87.317929664675859</v>
      </c>
      <c r="O17" s="102">
        <f t="shared" si="7"/>
        <v>0</v>
      </c>
      <c r="P17" s="96">
        <f t="shared" si="7"/>
        <v>0</v>
      </c>
      <c r="Q17" s="31"/>
    </row>
  </sheetData>
  <conditionalFormatting sqref="F13:G14 F15:F17">
    <cfRule type="cellIs" dxfId="32" priority="4" stopIfTrue="1" operator="greaterThan">
      <formula>1</formula>
    </cfRule>
  </conditionalFormatting>
  <conditionalFormatting sqref="I13:I14 H4:H9">
    <cfRule type="cellIs" dxfId="31" priority="3" operator="greaterThan">
      <formula>1</formula>
    </cfRule>
  </conditionalFormatting>
  <conditionalFormatting sqref="H13:H17">
    <cfRule type="cellIs" dxfId="30" priority="2" operator="greaterThan">
      <formula>1</formula>
    </cfRule>
  </conditionalFormatting>
  <conditionalFormatting sqref="G17">
    <cfRule type="cellIs" dxfId="29" priority="1" stopIfTrue="1" operator="greaterThan">
      <formula>1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B40B-CA51-4F5D-8745-6E51F8C142F6}">
  <dimension ref="A1:V12"/>
  <sheetViews>
    <sheetView zoomScaleNormal="100" workbookViewId="0">
      <selection activeCell="E22" sqref="E22"/>
    </sheetView>
  </sheetViews>
  <sheetFormatPr defaultRowHeight="12.75"/>
  <cols>
    <col min="1" max="1" width="21.85546875" style="34" customWidth="1"/>
    <col min="2" max="2" width="11.42578125" style="34" bestFit="1" customWidth="1"/>
    <col min="3" max="3" width="9" style="34" bestFit="1" customWidth="1"/>
    <col min="4" max="4" width="11.28515625" style="34" customWidth="1"/>
    <col min="5" max="5" width="10.28515625" style="34" customWidth="1"/>
    <col min="6" max="6" width="8.5703125" style="34" bestFit="1" customWidth="1"/>
    <col min="7" max="7" width="10" style="34" bestFit="1" customWidth="1"/>
    <col min="8" max="8" width="9.85546875" style="34" bestFit="1" customWidth="1"/>
    <col min="9" max="9" width="8.7109375" style="34" bestFit="1" customWidth="1"/>
    <col min="10" max="10" width="9.85546875" style="34" customWidth="1"/>
    <col min="11" max="11" width="11.28515625" style="34" bestFit="1" customWidth="1"/>
    <col min="12" max="12" width="8.7109375" style="34" bestFit="1" customWidth="1"/>
    <col min="13" max="13" width="9.28515625" style="34" bestFit="1" customWidth="1"/>
    <col min="14" max="14" width="8.5703125" style="34" bestFit="1" customWidth="1"/>
    <col min="15" max="15" width="7.85546875" style="34" bestFit="1" customWidth="1"/>
    <col min="16" max="16" width="11.28515625" style="34" bestFit="1" customWidth="1"/>
    <col min="17" max="17" width="10.28515625" style="34" bestFit="1" customWidth="1"/>
    <col min="18" max="18" width="11" style="34" bestFit="1" customWidth="1"/>
    <col min="19" max="19" width="10.28515625" style="34" bestFit="1" customWidth="1"/>
    <col min="20" max="20" width="11" style="34" bestFit="1" customWidth="1"/>
    <col min="21" max="21" width="6.85546875" style="34" customWidth="1"/>
    <col min="22" max="22" width="7.42578125" style="34" customWidth="1"/>
    <col min="23" max="16384" width="9.140625" style="34"/>
  </cols>
  <sheetData>
    <row r="1" spans="1:22" ht="15.75">
      <c r="A1" s="33" t="s">
        <v>60</v>
      </c>
    </row>
    <row r="3" spans="1:22" ht="35.25" customHeight="1">
      <c r="A3" s="35" t="s">
        <v>48</v>
      </c>
      <c r="B3" s="36" t="s">
        <v>14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 ht="14.25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s="45" customFormat="1" ht="13.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 t="s">
        <v>92</v>
      </c>
      <c r="T5" s="41" t="s">
        <v>92</v>
      </c>
      <c r="U5" s="41"/>
      <c r="V5" s="44"/>
    </row>
    <row r="6" spans="1:22" ht="15">
      <c r="A6" s="72" t="s">
        <v>2</v>
      </c>
      <c r="B6" s="74">
        <v>1.5</v>
      </c>
      <c r="C6" s="119">
        <v>7.4999999999999997E-2</v>
      </c>
      <c r="D6" s="47">
        <v>3.6</v>
      </c>
      <c r="E6" s="48">
        <f>B6/10^D6</f>
        <v>3.7678296472643658E-4</v>
      </c>
      <c r="F6" s="48">
        <f>E6*1000</f>
        <v>0.37678296472643658</v>
      </c>
      <c r="G6" s="49">
        <v>2</v>
      </c>
      <c r="H6" s="47">
        <v>3.5</v>
      </c>
      <c r="I6" s="47">
        <v>17.5</v>
      </c>
      <c r="J6" s="48">
        <f>F6/(1+(I6/1000^2)*(10^G6))</f>
        <v>0.37612474642020127</v>
      </c>
      <c r="K6" s="48">
        <f>F6-J6</f>
        <v>6.5821830623530309E-4</v>
      </c>
      <c r="L6" s="50">
        <f>J6*100/F6</f>
        <v>99.825305714998763</v>
      </c>
      <c r="M6" s="50">
        <f>K6*100/F6</f>
        <v>0.17469428500123479</v>
      </c>
      <c r="N6" s="47">
        <v>25</v>
      </c>
      <c r="O6" s="47" t="str">
        <f>IF(N6&lt;5,"F","M")</f>
        <v>M</v>
      </c>
      <c r="P6" s="47">
        <v>100</v>
      </c>
      <c r="Q6" s="129" t="s">
        <v>94</v>
      </c>
      <c r="R6" s="130"/>
      <c r="S6" s="130"/>
      <c r="T6" s="130"/>
      <c r="U6" s="130"/>
      <c r="V6" s="131"/>
    </row>
    <row r="7" spans="1:22" ht="15">
      <c r="A7" s="73" t="s">
        <v>3</v>
      </c>
      <c r="B7" s="51">
        <f>1.5/2</f>
        <v>0.75</v>
      </c>
      <c r="C7" s="52">
        <v>7.4999999999999997E-2</v>
      </c>
      <c r="D7" s="52">
        <v>3.6</v>
      </c>
      <c r="E7" s="48">
        <f t="shared" ref="E7:E10" si="0">B7/10^D7</f>
        <v>1.8839148236321829E-4</v>
      </c>
      <c r="F7" s="48">
        <f t="shared" ref="F7:F10" si="1">E7*1000</f>
        <v>0.18839148236321829</v>
      </c>
      <c r="G7" s="54">
        <v>2</v>
      </c>
      <c r="H7" s="52">
        <v>3.5</v>
      </c>
      <c r="I7" s="52">
        <v>17.5</v>
      </c>
      <c r="J7" s="48">
        <f t="shared" ref="J7:J10" si="2">F7/(1+(I7/1000^2)*(10^G7))</f>
        <v>0.18806237321010064</v>
      </c>
      <c r="K7" s="48">
        <f t="shared" ref="K7:K10" si="3">F7-J7</f>
        <v>3.2910915311765154E-4</v>
      </c>
      <c r="L7" s="50">
        <f>J7*100/F7</f>
        <v>99.825305714998763</v>
      </c>
      <c r="M7" s="50">
        <f t="shared" ref="M7:M10" si="4">K7*100/F7</f>
        <v>0.17469428500123479</v>
      </c>
      <c r="N7" s="52">
        <v>25</v>
      </c>
      <c r="O7" s="52" t="str">
        <f>IF(N7&lt;5,"F","M")</f>
        <v>M</v>
      </c>
      <c r="P7" s="52">
        <v>100</v>
      </c>
      <c r="Q7" s="127" t="s">
        <v>94</v>
      </c>
      <c r="R7" s="128"/>
      <c r="S7" s="128"/>
      <c r="T7" s="128"/>
      <c r="U7" s="128"/>
      <c r="V7" s="128"/>
    </row>
    <row r="8" spans="1:22" ht="15">
      <c r="A8" s="71" t="s">
        <v>4</v>
      </c>
      <c r="B8" s="75">
        <f>1.2/2</f>
        <v>0.6</v>
      </c>
      <c r="C8" s="119">
        <v>7.4999999999999997E-2</v>
      </c>
      <c r="D8" s="52">
        <v>3.6</v>
      </c>
      <c r="E8" s="48">
        <f t="shared" si="0"/>
        <v>1.5071318589057463E-4</v>
      </c>
      <c r="F8" s="48">
        <f t="shared" si="1"/>
        <v>0.15071318589057461</v>
      </c>
      <c r="G8" s="54">
        <v>2</v>
      </c>
      <c r="H8" s="52">
        <v>3.5</v>
      </c>
      <c r="I8" s="52">
        <v>17.5</v>
      </c>
      <c r="J8" s="48">
        <f t="shared" si="2"/>
        <v>0.1504498985680805</v>
      </c>
      <c r="K8" s="48">
        <f t="shared" si="3"/>
        <v>2.6328732249411568E-4</v>
      </c>
      <c r="L8" s="50">
        <f>J8*100/F8</f>
        <v>99.825305714998763</v>
      </c>
      <c r="M8" s="50">
        <f t="shared" si="4"/>
        <v>0.17469428500123113</v>
      </c>
      <c r="N8" s="52">
        <v>25</v>
      </c>
      <c r="O8" s="52" t="str">
        <f t="shared" ref="O8:O10" si="5">IF(N8&lt;5,"F","M")</f>
        <v>M</v>
      </c>
      <c r="P8" s="52">
        <v>100</v>
      </c>
      <c r="Q8" s="127" t="s">
        <v>94</v>
      </c>
      <c r="R8" s="128"/>
      <c r="S8" s="128"/>
      <c r="T8" s="128"/>
      <c r="U8" s="128"/>
      <c r="V8" s="128"/>
    </row>
    <row r="9" spans="1:22" ht="15">
      <c r="A9" s="71" t="s">
        <v>5</v>
      </c>
      <c r="B9" s="76">
        <f>1.5/2</f>
        <v>0.75</v>
      </c>
      <c r="C9" s="119">
        <v>7.4999999999999997E-2</v>
      </c>
      <c r="D9" s="52">
        <v>3.6</v>
      </c>
      <c r="E9" s="48">
        <f>B9/10^D9</f>
        <v>1.8839148236321829E-4</v>
      </c>
      <c r="F9" s="48">
        <f>E9*1000</f>
        <v>0.18839148236321829</v>
      </c>
      <c r="G9" s="54">
        <v>2</v>
      </c>
      <c r="H9" s="52">
        <v>3.5</v>
      </c>
      <c r="I9" s="52">
        <v>17.5</v>
      </c>
      <c r="J9" s="48">
        <f>F9/(1+(I9/1000^2)*(10^G9))</f>
        <v>0.18806237321010064</v>
      </c>
      <c r="K9" s="48">
        <f>F9-J9</f>
        <v>3.2910915311765154E-4</v>
      </c>
      <c r="L9" s="50">
        <f>J9*100/F9</f>
        <v>99.825305714998763</v>
      </c>
      <c r="M9" s="50">
        <f>K9*100/F9</f>
        <v>0.17469428500123479</v>
      </c>
      <c r="N9" s="52">
        <v>25</v>
      </c>
      <c r="O9" s="52" t="str">
        <f t="shared" si="5"/>
        <v>M</v>
      </c>
      <c r="P9" s="52">
        <v>100</v>
      </c>
      <c r="Q9" s="127" t="s">
        <v>94</v>
      </c>
      <c r="R9" s="128"/>
      <c r="S9" s="128"/>
      <c r="T9" s="128"/>
      <c r="U9" s="128"/>
      <c r="V9" s="128"/>
    </row>
    <row r="10" spans="1:22" ht="15">
      <c r="A10" s="71" t="s">
        <v>6</v>
      </c>
      <c r="B10" s="52">
        <v>0.82</v>
      </c>
      <c r="C10" s="119">
        <v>7.4999999999999997E-2</v>
      </c>
      <c r="D10" s="52">
        <v>3.6</v>
      </c>
      <c r="E10" s="48">
        <f t="shared" si="0"/>
        <v>2.0597468738378533E-4</v>
      </c>
      <c r="F10" s="48">
        <f t="shared" si="1"/>
        <v>0.20597468738378533</v>
      </c>
      <c r="G10" s="54">
        <v>2</v>
      </c>
      <c r="H10" s="52">
        <v>3.5</v>
      </c>
      <c r="I10" s="52">
        <v>17.5</v>
      </c>
      <c r="J10" s="48">
        <f t="shared" si="2"/>
        <v>0.20561486137637669</v>
      </c>
      <c r="K10" s="48">
        <f t="shared" si="3"/>
        <v>3.5982600740863679E-4</v>
      </c>
      <c r="L10" s="50">
        <f>J10*100/F10</f>
        <v>99.825305714998763</v>
      </c>
      <c r="M10" s="50">
        <f t="shared" si="4"/>
        <v>0.17469428500123696</v>
      </c>
      <c r="N10" s="52">
        <v>25</v>
      </c>
      <c r="O10" s="52" t="str">
        <f t="shared" si="5"/>
        <v>M</v>
      </c>
      <c r="P10" s="52">
        <v>100</v>
      </c>
      <c r="Q10" s="127" t="s">
        <v>94</v>
      </c>
      <c r="R10" s="128"/>
      <c r="S10" s="128"/>
      <c r="T10" s="128"/>
      <c r="U10" s="128"/>
      <c r="V10" s="128"/>
    </row>
    <row r="12" spans="1:22">
      <c r="A12" s="56" t="s">
        <v>95</v>
      </c>
      <c r="B12" s="56"/>
      <c r="C12" s="56"/>
      <c r="D12" s="56"/>
      <c r="E12" s="56"/>
      <c r="F12" s="56"/>
    </row>
  </sheetData>
  <mergeCells count="5">
    <mergeCell ref="Q8:V8"/>
    <mergeCell ref="Q9:V9"/>
    <mergeCell ref="Q10:V10"/>
    <mergeCell ref="Q6:V6"/>
    <mergeCell ref="Q7:V7"/>
  </mergeCells>
  <pageMargins left="0.7" right="0.7" top="0.75" bottom="0.75" header="0.3" footer="0.3"/>
  <ignoredErrors>
    <ignoredError sqref="B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6CD1-2E3F-4188-BC2F-175CE89FBB4D}">
  <dimension ref="A1:V7"/>
  <sheetViews>
    <sheetView workbookViewId="0">
      <selection activeCell="C4" sqref="C4"/>
    </sheetView>
  </sheetViews>
  <sheetFormatPr defaultRowHeight="15"/>
  <cols>
    <col min="1" max="1" width="20" customWidth="1"/>
    <col min="2" max="2" width="10.28515625" bestFit="1" customWidth="1"/>
    <col min="7" max="7" width="10" bestFit="1" customWidth="1"/>
    <col min="8" max="8" width="10.140625" bestFit="1" customWidth="1"/>
    <col min="9" max="9" width="10.5703125" customWidth="1"/>
    <col min="11" max="11" width="12.28515625" bestFit="1" customWidth="1"/>
    <col min="16" max="16" width="12.5703125" bestFit="1" customWidth="1"/>
    <col min="17" max="17" width="10.85546875" bestFit="1" customWidth="1"/>
    <col min="18" max="18" width="10.42578125" bestFit="1" customWidth="1"/>
    <col min="19" max="19" width="11.85546875" bestFit="1" customWidth="1"/>
    <col min="20" max="20" width="11.28515625" bestFit="1" customWidth="1"/>
  </cols>
  <sheetData>
    <row r="1" spans="1:22" ht="15.75">
      <c r="A1" s="33" t="s">
        <v>96</v>
      </c>
    </row>
    <row r="3" spans="1:22" ht="39.75">
      <c r="A3" s="35" t="s">
        <v>48</v>
      </c>
      <c r="B3" s="36" t="s">
        <v>16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77">
        <v>1.6</v>
      </c>
      <c r="C6" s="119">
        <v>7.4999999999999997E-2</v>
      </c>
      <c r="D6" s="47">
        <v>2.4</v>
      </c>
      <c r="E6" s="68">
        <f>B6/10^D6</f>
        <v>6.369714728855955E-3</v>
      </c>
      <c r="F6" s="50">
        <f>E6*1000</f>
        <v>6.3697147288559552</v>
      </c>
      <c r="G6" s="49">
        <v>2</v>
      </c>
      <c r="H6" s="47">
        <v>3.5</v>
      </c>
      <c r="I6" s="47">
        <v>17.5</v>
      </c>
      <c r="J6" s="49">
        <f>F6/(1+(I6/1000^2)*(10^G6))</f>
        <v>6.3585872012537621</v>
      </c>
      <c r="K6" s="68">
        <f>F6-J6</f>
        <v>1.1127527602193155E-2</v>
      </c>
      <c r="L6" s="50">
        <f>J6*100/F6</f>
        <v>99.825305714998763</v>
      </c>
      <c r="M6" s="50">
        <f>K6*100/F6</f>
        <v>0.17469428500123327</v>
      </c>
      <c r="N6" s="47">
        <v>25</v>
      </c>
      <c r="O6" s="47" t="str">
        <f>IF(N6&lt;5,"F","M")</f>
        <v>M</v>
      </c>
      <c r="P6" s="47">
        <v>100</v>
      </c>
      <c r="Q6" s="58">
        <v>340</v>
      </c>
      <c r="R6" s="58">
        <v>150</v>
      </c>
      <c r="S6" s="58">
        <v>69</v>
      </c>
      <c r="T6" s="58">
        <v>36</v>
      </c>
      <c r="U6" s="78">
        <f>IF(O6="F",J6/Q6,J6/S6)</f>
        <v>9.215343769932989E-2</v>
      </c>
      <c r="V6" s="79">
        <f>IF(O6="F",J6/R6,J6/T6)</f>
        <v>0.17662742225704894</v>
      </c>
    </row>
    <row r="7" spans="1:22">
      <c r="A7" s="71" t="s">
        <v>6</v>
      </c>
      <c r="B7" s="52">
        <v>0.82</v>
      </c>
      <c r="C7" s="119">
        <v>7.4999999999999997E-2</v>
      </c>
      <c r="D7" s="52">
        <v>2.4</v>
      </c>
      <c r="E7" s="68">
        <f>B7/10^D7</f>
        <v>3.2644787985386765E-3</v>
      </c>
      <c r="F7" s="50">
        <f>E7*1000</f>
        <v>3.2644787985386765</v>
      </c>
      <c r="G7" s="54">
        <v>2</v>
      </c>
      <c r="H7" s="52">
        <v>3.5</v>
      </c>
      <c r="I7" s="52">
        <v>17.5</v>
      </c>
      <c r="J7" s="54">
        <f>F7/(1+(I7/1000^2)*(10^G7))</f>
        <v>3.2587759406425523</v>
      </c>
      <c r="K7" s="69">
        <f>F7-J7</f>
        <v>5.702857896124236E-3</v>
      </c>
      <c r="L7" s="55">
        <f>J7*100/F7</f>
        <v>99.825305714998763</v>
      </c>
      <c r="M7" s="55">
        <f>K7*100/F7</f>
        <v>0.17469428500124076</v>
      </c>
      <c r="N7" s="52">
        <v>25</v>
      </c>
      <c r="O7" s="52" t="str">
        <f>IF(N7&lt;5,"F","M")</f>
        <v>M</v>
      </c>
      <c r="P7" s="52">
        <v>100</v>
      </c>
      <c r="Q7" s="61">
        <v>340</v>
      </c>
      <c r="R7" s="61">
        <v>150</v>
      </c>
      <c r="S7" s="61">
        <v>69</v>
      </c>
      <c r="T7" s="61">
        <v>36</v>
      </c>
      <c r="U7" s="80">
        <f>IF(O7="F",J7/Q7,J7/S7)</f>
        <v>4.7228636820906555E-2</v>
      </c>
      <c r="V7" s="81">
        <f>IF(O7="F",J7/R7,J7/T7)</f>
        <v>9.0521553906737565E-2</v>
      </c>
    </row>
  </sheetData>
  <conditionalFormatting sqref="U6:V7">
    <cfRule type="cellIs" dxfId="28" priority="1" operator="lessThan">
      <formula>0.95</formula>
    </cfRule>
    <cfRule type="cellIs" dxfId="27" priority="2" operator="greaterThan">
      <formula>0.95</formula>
    </cfRule>
    <cfRule type="cellIs" dxfId="26" priority="3" operator="greaterThan">
      <formula>1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6569B-B04B-43EF-8E5E-C7B35769AFF9}">
  <dimension ref="A1:W10"/>
  <sheetViews>
    <sheetView workbookViewId="0">
      <selection activeCell="C4" sqref="C4"/>
    </sheetView>
  </sheetViews>
  <sheetFormatPr defaultRowHeight="15"/>
  <cols>
    <col min="1" max="1" width="20" customWidth="1"/>
    <col min="16" max="16" width="12.5703125" bestFit="1" customWidth="1"/>
    <col min="17" max="17" width="10.85546875" bestFit="1" customWidth="1"/>
    <col min="18" max="18" width="10.42578125" bestFit="1" customWidth="1"/>
    <col min="19" max="19" width="11.85546875" bestFit="1" customWidth="1"/>
    <col min="20" max="20" width="11.28515625" bestFit="1" customWidth="1"/>
    <col min="21" max="21" width="13.85546875" customWidth="1"/>
  </cols>
  <sheetData>
    <row r="1" spans="1:23" ht="15.75">
      <c r="A1" s="33" t="s">
        <v>97</v>
      </c>
    </row>
    <row r="3" spans="1:23" ht="39.75">
      <c r="A3" s="35" t="s">
        <v>48</v>
      </c>
      <c r="B3" s="36" t="s">
        <v>18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  <c r="W3" s="37" t="s">
        <v>98</v>
      </c>
    </row>
    <row r="4" spans="1:23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  <c r="W4" s="39"/>
    </row>
    <row r="5" spans="1:23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  <c r="W5" s="44"/>
    </row>
    <row r="6" spans="1:23">
      <c r="A6" s="72" t="s">
        <v>2</v>
      </c>
      <c r="B6" s="57">
        <v>11</v>
      </c>
      <c r="C6" s="119">
        <v>7.4999999999999997E-2</v>
      </c>
      <c r="D6" s="47">
        <v>2.5</v>
      </c>
      <c r="E6" s="50">
        <f>B6/10^D6</f>
        <v>3.478505426185214E-2</v>
      </c>
      <c r="F6" s="50">
        <f>E6*1000</f>
        <v>34.785054261852139</v>
      </c>
      <c r="G6" s="49">
        <v>3.6</v>
      </c>
      <c r="H6" s="47">
        <v>3.5</v>
      </c>
      <c r="I6" s="47">
        <v>17.5</v>
      </c>
      <c r="J6" s="49">
        <f>F6/(1+(I6/1000^2)*(10^G6))</f>
        <v>32.51946371644005</v>
      </c>
      <c r="K6" s="49">
        <f>F6-J6</f>
        <v>2.2655905454120884</v>
      </c>
      <c r="L6" s="50">
        <f>J6*100/F6</f>
        <v>93.486885119231502</v>
      </c>
      <c r="M6" s="50">
        <f>K6*100/F6</f>
        <v>6.513114880768498</v>
      </c>
      <c r="N6" s="47">
        <v>25</v>
      </c>
      <c r="O6" s="47" t="str">
        <f>IF(N6&lt;5,"F","M")</f>
        <v>M</v>
      </c>
      <c r="P6" s="47">
        <v>100</v>
      </c>
      <c r="Q6" s="132" t="s">
        <v>99</v>
      </c>
      <c r="R6" s="133"/>
      <c r="S6" s="134"/>
      <c r="T6" s="134"/>
      <c r="U6" s="134"/>
      <c r="V6" s="134"/>
      <c r="W6" s="135"/>
    </row>
    <row r="7" spans="1:23">
      <c r="A7" s="73" t="s">
        <v>3</v>
      </c>
      <c r="B7" s="60">
        <v>9.6</v>
      </c>
      <c r="C7" s="119">
        <v>7.4999999999999997E-2</v>
      </c>
      <c r="D7" s="52">
        <v>2.5</v>
      </c>
      <c r="E7" s="55">
        <f>B7/10^D7</f>
        <v>3.0357865537616411E-2</v>
      </c>
      <c r="F7" s="55">
        <f>E7*1000</f>
        <v>30.357865537616412</v>
      </c>
      <c r="G7" s="54">
        <v>3.6</v>
      </c>
      <c r="H7" s="52">
        <v>3.5</v>
      </c>
      <c r="I7" s="52">
        <v>17.5</v>
      </c>
      <c r="J7" s="54">
        <f>F7/(1+(I7/1000^2)*(10^G7))</f>
        <v>28.380622879802225</v>
      </c>
      <c r="K7" s="54">
        <f>F7-J7</f>
        <v>1.9772426578141875</v>
      </c>
      <c r="L7" s="55">
        <f>J7*100/F7</f>
        <v>93.486885119231502</v>
      </c>
      <c r="M7" s="55">
        <f>K7*100/F7</f>
        <v>6.5131148807685024</v>
      </c>
      <c r="N7" s="52">
        <v>25</v>
      </c>
      <c r="O7" s="52" t="str">
        <f>IF(N7&lt;5,"F","M")</f>
        <v>M</v>
      </c>
      <c r="P7" s="52">
        <v>100</v>
      </c>
      <c r="Q7" s="127" t="s">
        <v>99</v>
      </c>
      <c r="R7" s="128"/>
      <c r="S7" s="136"/>
      <c r="T7" s="136"/>
      <c r="U7" s="136"/>
      <c r="V7" s="136"/>
      <c r="W7" s="136"/>
    </row>
    <row r="8" spans="1:23">
      <c r="A8" s="71" t="s">
        <v>4</v>
      </c>
      <c r="B8" s="52">
        <v>4.2</v>
      </c>
      <c r="C8" s="119">
        <v>7.4999999999999997E-2</v>
      </c>
      <c r="D8" s="52">
        <v>2.5</v>
      </c>
      <c r="E8" s="55">
        <f>B8/10^D8</f>
        <v>1.328156617270718E-2</v>
      </c>
      <c r="F8" s="55">
        <f t="shared" ref="F8:F10" si="0">E8*1000</f>
        <v>13.28156617270718</v>
      </c>
      <c r="G8" s="54">
        <v>3.6</v>
      </c>
      <c r="H8" s="52">
        <v>3.5</v>
      </c>
      <c r="I8" s="52">
        <v>17.5</v>
      </c>
      <c r="J8" s="54">
        <f t="shared" ref="J8:J10" si="1">F8/(1+(I8/1000^2)*(10^G8))</f>
        <v>12.416522509913472</v>
      </c>
      <c r="K8" s="54">
        <f t="shared" ref="K8:K10" si="2">F8-J8</f>
        <v>0.86504366279370792</v>
      </c>
      <c r="L8" s="55">
        <f t="shared" ref="L8:L10" si="3">J8*100/F8</f>
        <v>93.486885119231502</v>
      </c>
      <c r="M8" s="55">
        <f t="shared" ref="M8:M10" si="4">K8*100/F8</f>
        <v>6.5131148807685104</v>
      </c>
      <c r="N8" s="52">
        <v>25</v>
      </c>
      <c r="O8" s="52" t="str">
        <f t="shared" ref="O8:O10" si="5">IF(N8&lt;5,"F","M")</f>
        <v>M</v>
      </c>
      <c r="P8" s="52">
        <v>100</v>
      </c>
      <c r="Q8" s="137" t="s">
        <v>99</v>
      </c>
      <c r="R8" s="138"/>
      <c r="S8" s="138"/>
      <c r="T8" s="138"/>
      <c r="U8" s="138"/>
      <c r="V8" s="138"/>
      <c r="W8" s="139"/>
    </row>
    <row r="9" spans="1:23">
      <c r="A9" s="71" t="s">
        <v>5</v>
      </c>
      <c r="B9" s="52">
        <v>4.2</v>
      </c>
      <c r="C9" s="119">
        <v>7.4999999999999997E-2</v>
      </c>
      <c r="D9" s="52">
        <v>2.5</v>
      </c>
      <c r="E9" s="55">
        <f t="shared" ref="E9:E10" si="6">B9/10^D9</f>
        <v>1.328156617270718E-2</v>
      </c>
      <c r="F9" s="55">
        <f t="shared" si="0"/>
        <v>13.28156617270718</v>
      </c>
      <c r="G9" s="54">
        <v>3.6</v>
      </c>
      <c r="H9" s="52">
        <v>3.5</v>
      </c>
      <c r="I9" s="52">
        <v>17.5</v>
      </c>
      <c r="J9" s="54">
        <f t="shared" si="1"/>
        <v>12.416522509913472</v>
      </c>
      <c r="K9" s="54">
        <f t="shared" si="2"/>
        <v>0.86504366279370792</v>
      </c>
      <c r="L9" s="55">
        <f t="shared" si="3"/>
        <v>93.486885119231502</v>
      </c>
      <c r="M9" s="55">
        <f t="shared" si="4"/>
        <v>6.5131148807685104</v>
      </c>
      <c r="N9" s="52">
        <v>25</v>
      </c>
      <c r="O9" s="52" t="str">
        <f t="shared" si="5"/>
        <v>M</v>
      </c>
      <c r="P9" s="52">
        <v>100</v>
      </c>
      <c r="Q9" s="137" t="s">
        <v>99</v>
      </c>
      <c r="R9" s="138"/>
      <c r="S9" s="138"/>
      <c r="T9" s="138"/>
      <c r="U9" s="138"/>
      <c r="V9" s="138"/>
      <c r="W9" s="139"/>
    </row>
    <row r="10" spans="1:23">
      <c r="A10" s="71" t="s">
        <v>6</v>
      </c>
      <c r="B10" s="52">
        <v>4.7</v>
      </c>
      <c r="C10" s="119">
        <v>7.4999999999999997E-2</v>
      </c>
      <c r="D10" s="52">
        <v>2.5</v>
      </c>
      <c r="E10" s="55">
        <f t="shared" si="6"/>
        <v>1.4862705002791368E-2</v>
      </c>
      <c r="F10" s="55">
        <f t="shared" si="0"/>
        <v>14.862705002791369</v>
      </c>
      <c r="G10" s="54">
        <v>3.6</v>
      </c>
      <c r="H10" s="52">
        <v>3.5</v>
      </c>
      <c r="I10" s="52">
        <v>17.5</v>
      </c>
      <c r="J10" s="54">
        <f t="shared" si="1"/>
        <v>13.894679951569838</v>
      </c>
      <c r="K10" s="54">
        <f t="shared" si="2"/>
        <v>0.96802505122153093</v>
      </c>
      <c r="L10" s="55">
        <f t="shared" si="3"/>
        <v>93.486885119231488</v>
      </c>
      <c r="M10" s="55">
        <f t="shared" si="4"/>
        <v>6.5131148807685131</v>
      </c>
      <c r="N10" s="52">
        <v>25</v>
      </c>
      <c r="O10" s="52" t="str">
        <f t="shared" si="5"/>
        <v>M</v>
      </c>
      <c r="P10" s="52">
        <v>100</v>
      </c>
      <c r="Q10" s="127" t="s">
        <v>99</v>
      </c>
      <c r="R10" s="128"/>
      <c r="S10" s="136"/>
      <c r="T10" s="136"/>
      <c r="U10" s="136"/>
      <c r="V10" s="136"/>
      <c r="W10" s="136"/>
    </row>
  </sheetData>
  <mergeCells count="5">
    <mergeCell ref="Q6:W6"/>
    <mergeCell ref="Q7:W7"/>
    <mergeCell ref="Q8:W8"/>
    <mergeCell ref="Q9:W9"/>
    <mergeCell ref="Q10:W10"/>
  </mergeCells>
  <conditionalFormatting sqref="U6:V7">
    <cfRule type="cellIs" dxfId="25" priority="2" stopIfTrue="1" operator="greaterThanOrEqual">
      <formula>1</formula>
    </cfRule>
  </conditionalFormatting>
  <conditionalFormatting sqref="U8:V10">
    <cfRule type="cellIs" dxfId="24" priority="1" stopIfTrue="1" operator="greaterThanOr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C038-AC48-4C07-B697-4745BE9097BB}">
  <dimension ref="A1:W8"/>
  <sheetViews>
    <sheetView workbookViewId="0">
      <selection activeCell="C4" sqref="C4"/>
    </sheetView>
  </sheetViews>
  <sheetFormatPr defaultRowHeight="15"/>
  <cols>
    <col min="1" max="1" width="20.7109375" customWidth="1"/>
    <col min="2" max="2" width="9.5703125" bestFit="1" customWidth="1"/>
    <col min="3" max="3" width="8.42578125" bestFit="1" customWidth="1"/>
    <col min="4" max="4" width="10" bestFit="1" customWidth="1"/>
    <col min="7" max="7" width="10" bestFit="1" customWidth="1"/>
    <col min="8" max="8" width="11.5703125" customWidth="1"/>
    <col min="11" max="11" width="12.28515625" bestFit="1" customWidth="1"/>
    <col min="12" max="12" width="9.42578125" bestFit="1" customWidth="1"/>
    <col min="13" max="13" width="9.28515625" bestFit="1" customWidth="1"/>
    <col min="16" max="16" width="11.28515625" bestFit="1" customWidth="1"/>
  </cols>
  <sheetData>
    <row r="1" spans="1:23" ht="15.75">
      <c r="A1" s="33" t="s">
        <v>100</v>
      </c>
    </row>
    <row r="3" spans="1:23" ht="41.25">
      <c r="A3" s="35" t="s">
        <v>48</v>
      </c>
      <c r="B3" s="36" t="s">
        <v>19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  <c r="W3" s="37" t="s">
        <v>98</v>
      </c>
    </row>
    <row r="4" spans="1:23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  <c r="W4" s="39"/>
    </row>
    <row r="5" spans="1:23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  <c r="W5" s="44"/>
    </row>
    <row r="6" spans="1:23">
      <c r="A6" s="72" t="s">
        <v>2</v>
      </c>
      <c r="B6" s="57">
        <v>0.14000000000000001</v>
      </c>
      <c r="C6" s="119">
        <v>7.4999999999999997E-2</v>
      </c>
      <c r="D6" s="47">
        <v>2.8</v>
      </c>
      <c r="E6" s="48">
        <f>B6/10^D6</f>
        <v>2.2188504694455592E-4</v>
      </c>
      <c r="F6" s="50">
        <f>E6*1000</f>
        <v>0.22188504694455591</v>
      </c>
      <c r="G6" s="49">
        <v>2.1</v>
      </c>
      <c r="H6" s="47">
        <v>3.5</v>
      </c>
      <c r="I6" s="47">
        <v>17.5</v>
      </c>
      <c r="J6" s="50">
        <f>F6/(1+(I6/1000^2)*(10^G6))</f>
        <v>0.22139728228121544</v>
      </c>
      <c r="K6" s="48">
        <f>F6-J6</f>
        <v>4.8776466334046753E-4</v>
      </c>
      <c r="L6" s="50">
        <f>J6*100/F6</f>
        <v>99.780172359491019</v>
      </c>
      <c r="M6" s="50">
        <f>K6*100/F6</f>
        <v>0.21982764050898346</v>
      </c>
      <c r="N6" s="47">
        <v>25</v>
      </c>
      <c r="O6" s="47" t="str">
        <f>IF(N6&lt;5,"F","M")</f>
        <v>M</v>
      </c>
      <c r="P6" s="47">
        <v>100</v>
      </c>
      <c r="Q6" s="132" t="s">
        <v>101</v>
      </c>
      <c r="R6" s="133"/>
      <c r="S6" s="134"/>
      <c r="T6" s="134"/>
      <c r="U6" s="134"/>
      <c r="V6" s="134"/>
      <c r="W6" s="135"/>
    </row>
    <row r="7" spans="1:23">
      <c r="A7" s="73" t="s">
        <v>3</v>
      </c>
      <c r="B7" s="60">
        <v>0.12</v>
      </c>
      <c r="C7" s="119">
        <v>7.4999999999999997E-2</v>
      </c>
      <c r="D7" s="52">
        <v>2.8</v>
      </c>
      <c r="E7" s="53">
        <f>B7/10^D7</f>
        <v>1.9018718309533363E-4</v>
      </c>
      <c r="F7" s="55">
        <f>E7*1000</f>
        <v>0.19018718309533364</v>
      </c>
      <c r="G7" s="54">
        <v>2.1</v>
      </c>
      <c r="H7" s="52">
        <v>3.5</v>
      </c>
      <c r="I7" s="52">
        <v>17.5</v>
      </c>
      <c r="J7" s="55">
        <f>F7/(1+(I7/1000^2)*(10^G7))</f>
        <v>0.18976909909818465</v>
      </c>
      <c r="K7" s="53">
        <f>F7-J7</f>
        <v>4.1808399714898803E-4</v>
      </c>
      <c r="L7" s="55">
        <f>J7*100/F7</f>
        <v>99.780172359491019</v>
      </c>
      <c r="M7" s="55">
        <f>K7*100/F7</f>
        <v>0.21982764050899178</v>
      </c>
      <c r="N7" s="52">
        <v>25</v>
      </c>
      <c r="O7" s="52" t="str">
        <f>IF(N7&lt;5,"F","M")</f>
        <v>M</v>
      </c>
      <c r="P7" s="52">
        <v>100</v>
      </c>
      <c r="Q7" s="137" t="s">
        <v>101</v>
      </c>
      <c r="R7" s="138"/>
      <c r="S7" s="138"/>
      <c r="T7" s="138"/>
      <c r="U7" s="138"/>
      <c r="V7" s="138"/>
      <c r="W7" s="139"/>
    </row>
    <row r="8" spans="1:23">
      <c r="A8" s="71" t="s">
        <v>6</v>
      </c>
      <c r="B8" s="52">
        <v>3.5000000000000003E-2</v>
      </c>
      <c r="C8" s="119">
        <v>7.4999999999999997E-2</v>
      </c>
      <c r="D8" s="52">
        <v>2.8</v>
      </c>
      <c r="E8" s="53">
        <f>B8/10^D8</f>
        <v>5.5471261736138979E-5</v>
      </c>
      <c r="F8" s="55">
        <f>E8*1000</f>
        <v>5.5471261736138977E-2</v>
      </c>
      <c r="G8" s="54">
        <v>2.1</v>
      </c>
      <c r="H8" s="52">
        <v>3.5</v>
      </c>
      <c r="I8" s="52">
        <v>17.5</v>
      </c>
      <c r="J8" s="55">
        <f>F8/(1+(I8/1000^2)*(10^G8))</f>
        <v>5.534932057030386E-2</v>
      </c>
      <c r="K8" s="53">
        <f>F8-J8</f>
        <v>1.2194116583511688E-4</v>
      </c>
      <c r="L8" s="55">
        <f>J8*100/F8</f>
        <v>99.780172359491019</v>
      </c>
      <c r="M8" s="55">
        <f>K8*100/F8</f>
        <v>0.21982764050898346</v>
      </c>
      <c r="N8" s="52">
        <v>25</v>
      </c>
      <c r="O8" s="52" t="str">
        <f>IF(N8&lt;5,"F","M")</f>
        <v>M</v>
      </c>
      <c r="P8" s="52">
        <v>100</v>
      </c>
      <c r="Q8" s="137" t="s">
        <v>101</v>
      </c>
      <c r="R8" s="138"/>
      <c r="S8" s="138"/>
      <c r="T8" s="138"/>
      <c r="U8" s="138"/>
      <c r="V8" s="138"/>
      <c r="W8" s="139"/>
    </row>
  </sheetData>
  <mergeCells count="3">
    <mergeCell ref="Q6:W6"/>
    <mergeCell ref="Q7:W7"/>
    <mergeCell ref="Q8:W8"/>
  </mergeCells>
  <conditionalFormatting sqref="U6:V7">
    <cfRule type="cellIs" dxfId="23" priority="2" stopIfTrue="1" operator="greaterThanOrEqual">
      <formula>1</formula>
    </cfRule>
  </conditionalFormatting>
  <conditionalFormatting sqref="U8:V8">
    <cfRule type="cellIs" dxfId="22" priority="1" stopIfTrue="1" operator="greaterThanOrEqual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C8A4-BC80-4EC7-A4A6-CB830E9A6650}">
  <dimension ref="A1:V10"/>
  <sheetViews>
    <sheetView workbookViewId="0">
      <selection activeCell="C4" sqref="C4"/>
    </sheetView>
  </sheetViews>
  <sheetFormatPr defaultColWidth="29.140625" defaultRowHeight="15"/>
  <cols>
    <col min="1" max="1" width="20.85546875" customWidth="1"/>
    <col min="2" max="2" width="12.42578125" customWidth="1"/>
    <col min="3" max="3" width="11.140625" bestFit="1" customWidth="1"/>
    <col min="4" max="4" width="10.42578125" bestFit="1" customWidth="1"/>
    <col min="5" max="5" width="9.85546875" customWidth="1"/>
    <col min="6" max="6" width="10.42578125" customWidth="1"/>
    <col min="7" max="7" width="10.42578125" bestFit="1" customWidth="1"/>
    <col min="8" max="8" width="9.85546875" bestFit="1" customWidth="1"/>
    <col min="9" max="9" width="8.7109375" bestFit="1" customWidth="1"/>
    <col min="10" max="10" width="9.42578125" bestFit="1" customWidth="1"/>
    <col min="11" max="11" width="11.28515625" bestFit="1" customWidth="1"/>
    <col min="12" max="12" width="6.85546875" bestFit="1" customWidth="1"/>
    <col min="13" max="13" width="9.28515625" bestFit="1" customWidth="1"/>
    <col min="14" max="14" width="7.85546875" bestFit="1" customWidth="1"/>
    <col min="15" max="15" width="9" bestFit="1" customWidth="1"/>
    <col min="16" max="16" width="12.5703125" bestFit="1" customWidth="1"/>
    <col min="17" max="17" width="13.5703125" customWidth="1"/>
    <col min="18" max="18" width="12.5703125" customWidth="1"/>
    <col min="19" max="19" width="10.28515625" bestFit="1" customWidth="1"/>
    <col min="20" max="20" width="11" bestFit="1" customWidth="1"/>
    <col min="21" max="21" width="8.85546875" customWidth="1"/>
    <col min="22" max="22" width="10" customWidth="1"/>
    <col min="23" max="23" width="11.28515625" bestFit="1" customWidth="1"/>
  </cols>
  <sheetData>
    <row r="1" spans="1:22" ht="15.75">
      <c r="A1" s="33" t="s">
        <v>102</v>
      </c>
    </row>
    <row r="3" spans="1:22" s="34" customFormat="1" ht="30" customHeight="1">
      <c r="A3" s="35" t="s">
        <v>48</v>
      </c>
      <c r="B3" s="36" t="s">
        <v>20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 s="34" customFormat="1" ht="14.25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s="45" customFormat="1" ht="13.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 s="34" customFormat="1" ht="12.75">
      <c r="A6" s="72" t="s">
        <v>2</v>
      </c>
      <c r="B6" s="57" t="s">
        <v>15</v>
      </c>
      <c r="C6" s="119">
        <v>7.4999999999999997E-2</v>
      </c>
      <c r="D6" s="47">
        <v>3.3</v>
      </c>
      <c r="E6" s="48" t="e">
        <f>B6/10^D6</f>
        <v>#VALUE!</v>
      </c>
      <c r="F6" s="48" t="e">
        <f>E6*1000</f>
        <v>#VALUE!</v>
      </c>
      <c r="G6" s="49">
        <v>3.8</v>
      </c>
      <c r="H6" s="47">
        <v>3.5</v>
      </c>
      <c r="I6" s="47">
        <v>17.5</v>
      </c>
      <c r="J6" s="48" t="e">
        <f>F6/(1+(I6/1000^2)*(10^G6))</f>
        <v>#VALUE!</v>
      </c>
      <c r="K6" s="48" t="e">
        <f>F6-J6</f>
        <v>#VALUE!</v>
      </c>
      <c r="L6" s="50" t="e">
        <f>J6*100/F6</f>
        <v>#VALUE!</v>
      </c>
      <c r="M6" s="50" t="e">
        <f>K6*100/F6</f>
        <v>#VALUE!</v>
      </c>
      <c r="N6" s="47">
        <v>25</v>
      </c>
      <c r="O6" s="47" t="str">
        <f>IF(N6&lt;5,"F","M")</f>
        <v>M</v>
      </c>
      <c r="P6" s="47">
        <v>100</v>
      </c>
      <c r="Q6" s="50">
        <f>(1.136672-LN(P6)*0.041838)*EXP(1.0166*LN(P6)-3.924)</f>
        <v>2.0137282219558053</v>
      </c>
      <c r="R6" s="50">
        <f>(1.101672-LN(P6)*0.041838)*EXP(0.7409*LN(P6)-4.719)</f>
        <v>0.24599634148460026</v>
      </c>
      <c r="S6" s="49">
        <v>33</v>
      </c>
      <c r="T6" s="49">
        <v>7.9</v>
      </c>
      <c r="U6" s="59" t="e">
        <f>IF(O6="F",J6/Q6,J6/S6)</f>
        <v>#VALUE!</v>
      </c>
      <c r="V6" s="59" t="e">
        <f>IF(O6="F",J6/R6,J6/T6)</f>
        <v>#VALUE!</v>
      </c>
    </row>
    <row r="7" spans="1:22" s="34" customFormat="1" ht="12.75">
      <c r="A7" s="73" t="s">
        <v>3</v>
      </c>
      <c r="B7" s="57" t="s">
        <v>15</v>
      </c>
      <c r="C7" s="119">
        <v>7.4999999999999997E-2</v>
      </c>
      <c r="D7" s="52">
        <v>3.3</v>
      </c>
      <c r="E7" s="53" t="e">
        <f>B7/10^D7</f>
        <v>#VALUE!</v>
      </c>
      <c r="F7" s="53" t="e">
        <f>E7*1000</f>
        <v>#VALUE!</v>
      </c>
      <c r="G7" s="54">
        <v>3.8</v>
      </c>
      <c r="H7" s="52">
        <v>3.5</v>
      </c>
      <c r="I7" s="52">
        <v>17.5</v>
      </c>
      <c r="J7" s="53" t="e">
        <f>F7/(1+(I7/1000^2)*(10^G7))</f>
        <v>#VALUE!</v>
      </c>
      <c r="K7" s="53" t="e">
        <f>F7-J7</f>
        <v>#VALUE!</v>
      </c>
      <c r="L7" s="55" t="e">
        <f>J7*100/F7</f>
        <v>#VALUE!</v>
      </c>
      <c r="M7" s="55" t="e">
        <f>K7*100/F7</f>
        <v>#VALUE!</v>
      </c>
      <c r="N7" s="52">
        <v>25</v>
      </c>
      <c r="O7" s="52" t="str">
        <f>IF(N7&lt;5,"F","M")</f>
        <v>M</v>
      </c>
      <c r="P7" s="52">
        <v>100</v>
      </c>
      <c r="Q7" s="55">
        <f>(1.136672-LN(P7)*0.041838)*EXP(1.0166*LN(P7)-3.924)</f>
        <v>2.0137282219558053</v>
      </c>
      <c r="R7" s="55">
        <f>(1.101672-LN(P7)*0.041838)*EXP(0.7409*LN(P7)-4.719)</f>
        <v>0.24599634148460026</v>
      </c>
      <c r="S7" s="54">
        <v>33</v>
      </c>
      <c r="T7" s="54">
        <v>7.9</v>
      </c>
      <c r="U7" s="62" t="e">
        <f>IF(O7="F",J7/Q7,J7/S7)</f>
        <v>#VALUE!</v>
      </c>
      <c r="V7" s="62" t="e">
        <f>IF(O7="F",J7/R7,J7/T7)</f>
        <v>#VALUE!</v>
      </c>
    </row>
    <row r="8" spans="1:22" s="34" customFormat="1" ht="12.75">
      <c r="A8" s="71" t="s">
        <v>4</v>
      </c>
      <c r="B8" s="57" t="s">
        <v>15</v>
      </c>
      <c r="C8" s="119">
        <v>7.4999999999999997E-2</v>
      </c>
      <c r="D8" s="52">
        <v>3.3</v>
      </c>
      <c r="E8" s="53" t="e">
        <f t="shared" ref="E8:E10" si="0">B8/10^D8</f>
        <v>#VALUE!</v>
      </c>
      <c r="F8" s="53" t="e">
        <f t="shared" ref="F8:F10" si="1">E8*1000</f>
        <v>#VALUE!</v>
      </c>
      <c r="G8" s="54">
        <v>3.8</v>
      </c>
      <c r="H8" s="52">
        <v>3.5</v>
      </c>
      <c r="I8" s="52">
        <v>17.5</v>
      </c>
      <c r="J8" s="53" t="e">
        <f t="shared" ref="J8:J10" si="2">F8/(1+(I8/1000^2)*(10^G8))</f>
        <v>#VALUE!</v>
      </c>
      <c r="K8" s="53" t="e">
        <f t="shared" ref="K8:K10" si="3">F8-J8</f>
        <v>#VALUE!</v>
      </c>
      <c r="L8" s="55" t="e">
        <f t="shared" ref="L8:L10" si="4">J8*100/F8</f>
        <v>#VALUE!</v>
      </c>
      <c r="M8" s="55" t="e">
        <f t="shared" ref="M8:M10" si="5">K8*100/F8</f>
        <v>#VALUE!</v>
      </c>
      <c r="N8" s="52">
        <v>25</v>
      </c>
      <c r="O8" s="52" t="str">
        <f t="shared" ref="O8:O10" si="6">IF(N8&lt;5,"F","M")</f>
        <v>M</v>
      </c>
      <c r="P8" s="52">
        <v>100</v>
      </c>
      <c r="Q8" s="55">
        <f>(1.136672-LN(P8)*0.041838)*EXP(1.0166*LN(P8)-3.924)</f>
        <v>2.0137282219558053</v>
      </c>
      <c r="R8" s="55">
        <f t="shared" ref="R8:R10" si="7">(1.101672-LN(P8)*0.041838)*EXP(0.7409*LN(P8)-4.719)</f>
        <v>0.24599634148460026</v>
      </c>
      <c r="S8" s="54">
        <v>33</v>
      </c>
      <c r="T8" s="54">
        <v>7.9</v>
      </c>
      <c r="U8" s="62" t="e">
        <f t="shared" ref="U8:U10" si="8">IF(O8="F",J8/Q8,J8/S8)</f>
        <v>#VALUE!</v>
      </c>
      <c r="V8" s="62" t="e">
        <f t="shared" ref="V8:V10" si="9">IF(O8="F",J8/R8,J8/T8)</f>
        <v>#VALUE!</v>
      </c>
    </row>
    <row r="9" spans="1:22" s="34" customFormat="1" ht="12.75">
      <c r="A9" s="71" t="s">
        <v>5</v>
      </c>
      <c r="B9" s="57" t="s">
        <v>15</v>
      </c>
      <c r="C9" s="119">
        <v>7.4999999999999997E-2</v>
      </c>
      <c r="D9" s="52">
        <v>3.3</v>
      </c>
      <c r="E9" s="53" t="e">
        <f t="shared" si="0"/>
        <v>#VALUE!</v>
      </c>
      <c r="F9" s="53" t="e">
        <f t="shared" si="1"/>
        <v>#VALUE!</v>
      </c>
      <c r="G9" s="54">
        <v>3.8</v>
      </c>
      <c r="H9" s="52">
        <v>3.5</v>
      </c>
      <c r="I9" s="52">
        <v>17.5</v>
      </c>
      <c r="J9" s="53" t="e">
        <f t="shared" si="2"/>
        <v>#VALUE!</v>
      </c>
      <c r="K9" s="53" t="e">
        <f t="shared" si="3"/>
        <v>#VALUE!</v>
      </c>
      <c r="L9" s="55" t="e">
        <f t="shared" si="4"/>
        <v>#VALUE!</v>
      </c>
      <c r="M9" s="55" t="e">
        <f t="shared" si="5"/>
        <v>#VALUE!</v>
      </c>
      <c r="N9" s="52">
        <v>25</v>
      </c>
      <c r="O9" s="52" t="str">
        <f t="shared" si="6"/>
        <v>M</v>
      </c>
      <c r="P9" s="52">
        <v>100</v>
      </c>
      <c r="Q9" s="55">
        <f t="shared" ref="Q9:Q10" si="10">(1.136672-LN(P9)*0.041838)*EXP(1.0166*LN(P9)-3.924)</f>
        <v>2.0137282219558053</v>
      </c>
      <c r="R9" s="55">
        <f t="shared" si="7"/>
        <v>0.24599634148460026</v>
      </c>
      <c r="S9" s="54">
        <v>33</v>
      </c>
      <c r="T9" s="54">
        <v>7.9</v>
      </c>
      <c r="U9" s="62" t="e">
        <f t="shared" si="8"/>
        <v>#VALUE!</v>
      </c>
      <c r="V9" s="62" t="e">
        <f t="shared" si="9"/>
        <v>#VALUE!</v>
      </c>
    </row>
    <row r="10" spans="1:22">
      <c r="A10" s="71" t="s">
        <v>6</v>
      </c>
      <c r="B10" s="57" t="s">
        <v>15</v>
      </c>
      <c r="C10" s="119">
        <v>7.4999999999999997E-2</v>
      </c>
      <c r="D10" s="52">
        <v>3.3</v>
      </c>
      <c r="E10" s="53" t="e">
        <f t="shared" si="0"/>
        <v>#VALUE!</v>
      </c>
      <c r="F10" s="53" t="e">
        <f t="shared" si="1"/>
        <v>#VALUE!</v>
      </c>
      <c r="G10" s="54">
        <v>3.8</v>
      </c>
      <c r="H10" s="52">
        <v>3.5</v>
      </c>
      <c r="I10" s="52">
        <v>17.5</v>
      </c>
      <c r="J10" s="53" t="e">
        <f t="shared" si="2"/>
        <v>#VALUE!</v>
      </c>
      <c r="K10" s="53" t="e">
        <f t="shared" si="3"/>
        <v>#VALUE!</v>
      </c>
      <c r="L10" s="55" t="e">
        <f t="shared" si="4"/>
        <v>#VALUE!</v>
      </c>
      <c r="M10" s="55" t="e">
        <f t="shared" si="5"/>
        <v>#VALUE!</v>
      </c>
      <c r="N10" s="52">
        <v>25</v>
      </c>
      <c r="O10" s="52" t="str">
        <f t="shared" si="6"/>
        <v>M</v>
      </c>
      <c r="P10" s="52">
        <v>100</v>
      </c>
      <c r="Q10" s="55">
        <f t="shared" si="10"/>
        <v>2.0137282219558053</v>
      </c>
      <c r="R10" s="55">
        <f t="shared" si="7"/>
        <v>0.24599634148460026</v>
      </c>
      <c r="S10" s="54">
        <v>33</v>
      </c>
      <c r="T10" s="54">
        <v>7.9</v>
      </c>
      <c r="U10" s="62" t="e">
        <f t="shared" si="8"/>
        <v>#VALUE!</v>
      </c>
      <c r="V10" s="62" t="e">
        <f t="shared" si="9"/>
        <v>#VALUE!</v>
      </c>
    </row>
  </sheetData>
  <conditionalFormatting sqref="U6:V10">
    <cfRule type="cellIs" dxfId="21" priority="1" stopIfTrue="1" operator="greaterThanOrEqual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EB4E-98EF-4A5E-BC0E-3916D59D160F}">
  <dimension ref="A1:V10"/>
  <sheetViews>
    <sheetView workbookViewId="0">
      <selection activeCell="C4" sqref="C4"/>
    </sheetView>
  </sheetViews>
  <sheetFormatPr defaultRowHeight="15"/>
  <cols>
    <col min="1" max="1" width="20.42578125" customWidth="1"/>
    <col min="2" max="2" width="9.5703125" bestFit="1" customWidth="1"/>
    <col min="4" max="4" width="10" bestFit="1" customWidth="1"/>
    <col min="7" max="7" width="10" bestFit="1" customWidth="1"/>
    <col min="8" max="8" width="10.85546875" customWidth="1"/>
    <col min="11" max="11" width="11.28515625" bestFit="1" customWidth="1"/>
    <col min="15" max="15" width="7.85546875" bestFit="1" customWidth="1"/>
    <col min="16" max="16" width="12.5703125" bestFit="1" customWidth="1"/>
  </cols>
  <sheetData>
    <row r="1" spans="1:22" ht="15.75">
      <c r="A1" s="33" t="s">
        <v>103</v>
      </c>
    </row>
    <row r="3" spans="1:22" ht="41.25">
      <c r="A3" s="35" t="s">
        <v>48</v>
      </c>
      <c r="B3" s="36" t="s">
        <v>23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/>
      <c r="T5" s="41"/>
      <c r="U5" s="41"/>
      <c r="V5" s="44"/>
    </row>
    <row r="6" spans="1:22">
      <c r="A6" s="72" t="s">
        <v>2</v>
      </c>
      <c r="B6" s="57">
        <v>7.8</v>
      </c>
      <c r="C6" s="119">
        <v>7.4999999999999997E-2</v>
      </c>
      <c r="D6" s="47">
        <v>4.9000000000000004</v>
      </c>
      <c r="E6" s="48">
        <f>B6/10^D6</f>
        <v>9.8196182119944932E-5</v>
      </c>
      <c r="F6" s="50">
        <f>E6*1000</f>
        <v>9.8196182119944936E-2</v>
      </c>
      <c r="G6" s="49">
        <v>1.1000000000000001</v>
      </c>
      <c r="H6" s="47">
        <v>3.5</v>
      </c>
      <c r="I6" s="47">
        <v>17.5</v>
      </c>
      <c r="J6" s="50">
        <f>F6/(1+(I6/1000^2)*(10^G6))</f>
        <v>9.8174553093000869E-2</v>
      </c>
      <c r="K6" s="48">
        <f>F6-J6</f>
        <v>2.1629026944067209E-5</v>
      </c>
      <c r="L6" s="50">
        <f>J6*100/F6</f>
        <v>99.977973657959893</v>
      </c>
      <c r="M6" s="50">
        <f>K6*100/F6</f>
        <v>2.2026342040108775E-2</v>
      </c>
      <c r="N6" s="47">
        <v>25</v>
      </c>
      <c r="O6" s="47" t="str">
        <f>IF(N6&lt;5,"F","M")</f>
        <v>M</v>
      </c>
      <c r="P6" s="47">
        <v>100</v>
      </c>
      <c r="Q6" s="58">
        <v>16</v>
      </c>
      <c r="R6" s="58">
        <v>11</v>
      </c>
      <c r="S6" s="58">
        <v>1100</v>
      </c>
      <c r="T6" s="58">
        <v>50</v>
      </c>
      <c r="U6" s="84">
        <f>IF(O6="F",J6/Q6,J6/S6)</f>
        <v>8.9249593720909878E-5</v>
      </c>
      <c r="V6" s="59">
        <f>IF(O6="F",J6/R6,J6/T6)</f>
        <v>1.9634910618600175E-3</v>
      </c>
    </row>
    <row r="7" spans="1:22">
      <c r="A7" s="73" t="s">
        <v>3</v>
      </c>
      <c r="B7" s="60">
        <v>6.5</v>
      </c>
      <c r="C7" s="119">
        <v>7.4999999999999997E-2</v>
      </c>
      <c r="D7" s="52">
        <v>4.9000000000000004</v>
      </c>
      <c r="E7" s="53">
        <f>B7/10^D7</f>
        <v>8.1830151766620776E-5</v>
      </c>
      <c r="F7" s="55">
        <f>E7*1000</f>
        <v>8.1830151766620771E-2</v>
      </c>
      <c r="G7" s="54">
        <v>1.1000000000000001</v>
      </c>
      <c r="H7" s="52">
        <v>3.5</v>
      </c>
      <c r="I7" s="52">
        <v>17.5</v>
      </c>
      <c r="J7" s="55">
        <f>F7/(1+(I7/1000^2)*(10^G7))</f>
        <v>8.1812127577500712E-2</v>
      </c>
      <c r="K7" s="53">
        <f>F7-J7</f>
        <v>1.802418912005832E-5</v>
      </c>
      <c r="L7" s="55">
        <f>J7*100/F7</f>
        <v>99.977973657959893</v>
      </c>
      <c r="M7" s="55">
        <f>K7*100/F7</f>
        <v>2.2026342040111606E-2</v>
      </c>
      <c r="N7" s="52">
        <v>25</v>
      </c>
      <c r="O7" s="52" t="str">
        <f>IF(N7&lt;5,"F","M")</f>
        <v>M</v>
      </c>
      <c r="P7" s="52">
        <v>100</v>
      </c>
      <c r="Q7" s="61">
        <v>16</v>
      </c>
      <c r="R7" s="61">
        <v>11</v>
      </c>
      <c r="S7" s="61">
        <v>1100</v>
      </c>
      <c r="T7" s="61">
        <v>50</v>
      </c>
      <c r="U7" s="83">
        <f>IF(O7="F",J7/Q7,J7/S7)</f>
        <v>7.4374661434091556E-5</v>
      </c>
      <c r="V7" s="62">
        <f>IF(O7="F",J7/R7,J7/T7)</f>
        <v>1.6362425515500142E-3</v>
      </c>
    </row>
    <row r="8" spans="1:22">
      <c r="A8" s="71" t="s">
        <v>4</v>
      </c>
      <c r="B8" s="52">
        <v>1.5</v>
      </c>
      <c r="C8" s="119">
        <v>7.4999999999999997E-2</v>
      </c>
      <c r="D8" s="52">
        <v>4.9000000000000004</v>
      </c>
      <c r="E8" s="53">
        <f>B8/10^D8</f>
        <v>1.8883881176912486E-5</v>
      </c>
      <c r="F8" s="55">
        <f>E8*1000</f>
        <v>1.8883881176912486E-2</v>
      </c>
      <c r="G8" s="54">
        <v>1.1000000000000001</v>
      </c>
      <c r="H8" s="52">
        <v>3.5</v>
      </c>
      <c r="I8" s="52">
        <v>17.5</v>
      </c>
      <c r="J8" s="55">
        <f>F8/(1+(I8/1000^2)*(10^G8))</f>
        <v>1.8879721748654012E-2</v>
      </c>
      <c r="K8" s="53">
        <f>F8-J8</f>
        <v>4.1594282584739295E-6</v>
      </c>
      <c r="L8" s="55">
        <f>J8*100/F8</f>
        <v>99.977973657959893</v>
      </c>
      <c r="M8" s="55">
        <f>K8*100/F8</f>
        <v>2.2026342040105951E-2</v>
      </c>
      <c r="N8" s="52">
        <v>25</v>
      </c>
      <c r="O8" s="52" t="str">
        <f>IF(N8&lt;5,"F","M")</f>
        <v>M</v>
      </c>
      <c r="P8" s="52">
        <v>100</v>
      </c>
      <c r="Q8" s="61">
        <v>16</v>
      </c>
      <c r="R8" s="61">
        <v>11</v>
      </c>
      <c r="S8" s="61">
        <v>1100</v>
      </c>
      <c r="T8" s="61">
        <v>50</v>
      </c>
      <c r="U8" s="83">
        <f>IF(O8="F",J8/Q8,J8/S8)</f>
        <v>1.7163383407867285E-5</v>
      </c>
      <c r="V8" s="62">
        <f>IF(O8="F",J8/R8,J8/T8)</f>
        <v>3.7759443497308026E-4</v>
      </c>
    </row>
    <row r="9" spans="1:22">
      <c r="A9" s="71" t="s">
        <v>5</v>
      </c>
      <c r="B9" s="52">
        <v>1.8</v>
      </c>
      <c r="C9" s="119">
        <v>7.4999999999999997E-2</v>
      </c>
      <c r="D9" s="52">
        <v>4.9000000000000004</v>
      </c>
      <c r="E9" s="53">
        <f>B9/10^D9</f>
        <v>2.2660657412294985E-5</v>
      </c>
      <c r="F9" s="55">
        <f>E9*1000</f>
        <v>2.2660657412294984E-2</v>
      </c>
      <c r="G9" s="54">
        <v>1.1000000000000001</v>
      </c>
      <c r="H9" s="52">
        <v>3.5</v>
      </c>
      <c r="I9" s="52">
        <v>17.5</v>
      </c>
      <c r="J9" s="55">
        <f>F9/(1+(I9/1000^2)*(10^G9))</f>
        <v>2.2655666098384816E-2</v>
      </c>
      <c r="K9" s="53">
        <f>F9-J9</f>
        <v>4.9913139101680215E-6</v>
      </c>
      <c r="L9" s="55">
        <f>J9*100/F9</f>
        <v>99.977973657959907</v>
      </c>
      <c r="M9" s="55">
        <f>K9*100/F9</f>
        <v>2.2026342040102891E-2</v>
      </c>
      <c r="N9" s="52">
        <v>25</v>
      </c>
      <c r="O9" s="52" t="str">
        <f>IF(N9&lt;5,"F","M")</f>
        <v>M</v>
      </c>
      <c r="P9" s="52">
        <v>100</v>
      </c>
      <c r="Q9" s="61">
        <v>16</v>
      </c>
      <c r="R9" s="61">
        <v>11</v>
      </c>
      <c r="S9" s="61">
        <v>1100</v>
      </c>
      <c r="T9" s="61">
        <v>50</v>
      </c>
      <c r="U9" s="83">
        <f>IF(O9="F",J9/Q9,J9/S9)</f>
        <v>2.0596060089440741E-5</v>
      </c>
      <c r="V9" s="62">
        <f>IF(O9="F",J9/R9,J9/T9)</f>
        <v>4.5311332196769632E-4</v>
      </c>
    </row>
    <row r="10" spans="1:22">
      <c r="A10" s="71" t="s">
        <v>6</v>
      </c>
      <c r="B10" s="52">
        <v>1.1000000000000001</v>
      </c>
      <c r="C10" s="119">
        <v>7.4999999999999997E-2</v>
      </c>
      <c r="D10" s="52">
        <v>4.9000000000000004</v>
      </c>
      <c r="E10" s="53">
        <f>B10/10^D10</f>
        <v>1.3848179529735825E-5</v>
      </c>
      <c r="F10" s="55">
        <f>E10*1000</f>
        <v>1.3848179529735825E-2</v>
      </c>
      <c r="G10" s="54">
        <v>1.1000000000000001</v>
      </c>
      <c r="H10" s="52">
        <v>3.5</v>
      </c>
      <c r="I10" s="52">
        <v>17.5</v>
      </c>
      <c r="J10" s="55">
        <f>F10/(1+(I10/1000^2)*(10^G10))</f>
        <v>1.3845129282346278E-2</v>
      </c>
      <c r="K10" s="53">
        <f>F10-J10</f>
        <v>3.050247389547317E-6</v>
      </c>
      <c r="L10" s="55">
        <f>J10*100/F10</f>
        <v>99.977973657959893</v>
      </c>
      <c r="M10" s="55">
        <f>K10*100/F10</f>
        <v>2.2026342040104278E-2</v>
      </c>
      <c r="N10" s="52">
        <v>25</v>
      </c>
      <c r="O10" s="52" t="str">
        <f>IF(N10&lt;5,"F","M")</f>
        <v>M</v>
      </c>
      <c r="P10" s="52">
        <v>100</v>
      </c>
      <c r="Q10" s="61">
        <v>16</v>
      </c>
      <c r="R10" s="61">
        <v>11</v>
      </c>
      <c r="S10" s="61">
        <v>1100</v>
      </c>
      <c r="T10" s="61">
        <v>50</v>
      </c>
      <c r="U10" s="83">
        <f>IF(O10="F",J10/Q10,J10/S10)</f>
        <v>1.2586481165769344E-5</v>
      </c>
      <c r="V10" s="62">
        <f>IF(O10="F",J10/R10,J10/T10)</f>
        <v>2.7690258564692558E-4</v>
      </c>
    </row>
  </sheetData>
  <conditionalFormatting sqref="U6:V7">
    <cfRule type="cellIs" dxfId="20" priority="4" stopIfTrue="1" operator="greaterThanOrEqual">
      <formula>1</formula>
    </cfRule>
  </conditionalFormatting>
  <conditionalFormatting sqref="U8:V8">
    <cfRule type="cellIs" dxfId="19" priority="3" stopIfTrue="1" operator="greaterThanOrEqual">
      <formula>1</formula>
    </cfRule>
  </conditionalFormatting>
  <conditionalFormatting sqref="U9:V9">
    <cfRule type="cellIs" dxfId="18" priority="2" stopIfTrue="1" operator="greaterThanOrEqual">
      <formula>1</formula>
    </cfRule>
  </conditionalFormatting>
  <conditionalFormatting sqref="U10:V10">
    <cfRule type="cellIs" dxfId="17" priority="1" stopIfTrue="1" operator="greaterThanOrEqual"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6BDE-EC96-4EC7-AEB6-5E973A893268}">
  <dimension ref="A1:V7"/>
  <sheetViews>
    <sheetView workbookViewId="0">
      <selection activeCell="C4" sqref="C4"/>
    </sheetView>
  </sheetViews>
  <sheetFormatPr defaultRowHeight="15"/>
  <cols>
    <col min="1" max="1" width="21.28515625" customWidth="1"/>
    <col min="4" max="4" width="10" bestFit="1" customWidth="1"/>
    <col min="11" max="11" width="11.28515625" bestFit="1" customWidth="1"/>
    <col min="16" max="16" width="11.140625" customWidth="1"/>
  </cols>
  <sheetData>
    <row r="1" spans="1:22" ht="15.75">
      <c r="A1" s="33" t="s">
        <v>104</v>
      </c>
    </row>
    <row r="3" spans="1:22" ht="41.25">
      <c r="A3" s="35" t="s">
        <v>48</v>
      </c>
      <c r="B3" s="36" t="s">
        <v>25</v>
      </c>
      <c r="C3" s="36" t="s">
        <v>61</v>
      </c>
      <c r="D3" s="36" t="s">
        <v>62</v>
      </c>
      <c r="E3" s="36" t="s">
        <v>63</v>
      </c>
      <c r="F3" s="36" t="s">
        <v>63</v>
      </c>
      <c r="G3" s="36" t="s">
        <v>64</v>
      </c>
      <c r="H3" s="37" t="s">
        <v>65</v>
      </c>
      <c r="I3" s="37" t="s">
        <v>66</v>
      </c>
      <c r="J3" s="36" t="s">
        <v>67</v>
      </c>
      <c r="K3" s="36" t="s">
        <v>68</v>
      </c>
      <c r="L3" s="36" t="s">
        <v>69</v>
      </c>
      <c r="M3" s="36" t="s">
        <v>70</v>
      </c>
      <c r="N3" s="36" t="s">
        <v>71</v>
      </c>
      <c r="O3" s="37" t="s">
        <v>72</v>
      </c>
      <c r="P3" s="36" t="s">
        <v>73</v>
      </c>
      <c r="Q3" s="37" t="s">
        <v>74</v>
      </c>
      <c r="R3" s="37" t="s">
        <v>75</v>
      </c>
      <c r="S3" s="37" t="s">
        <v>76</v>
      </c>
      <c r="T3" s="37" t="s">
        <v>77</v>
      </c>
      <c r="U3" s="36" t="s">
        <v>78</v>
      </c>
      <c r="V3" s="36" t="s">
        <v>79</v>
      </c>
    </row>
    <row r="4" spans="1:22">
      <c r="A4" s="35"/>
      <c r="B4" s="38" t="s">
        <v>80</v>
      </c>
      <c r="C4" s="38" t="s">
        <v>122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83</v>
      </c>
      <c r="I4" s="38" t="s">
        <v>83</v>
      </c>
      <c r="J4" s="38" t="s">
        <v>84</v>
      </c>
      <c r="K4" s="38" t="s">
        <v>84</v>
      </c>
      <c r="L4" s="38" t="s">
        <v>81</v>
      </c>
      <c r="M4" s="38" t="s">
        <v>81</v>
      </c>
      <c r="N4" s="38" t="s">
        <v>86</v>
      </c>
      <c r="O4" s="38" t="s">
        <v>87</v>
      </c>
      <c r="P4" s="38" t="s">
        <v>88</v>
      </c>
      <c r="Q4" s="38" t="s">
        <v>84</v>
      </c>
      <c r="R4" s="38" t="s">
        <v>84</v>
      </c>
      <c r="S4" s="38" t="s">
        <v>84</v>
      </c>
      <c r="T4" s="38" t="s">
        <v>84</v>
      </c>
      <c r="U4" s="38"/>
      <c r="V4" s="39"/>
    </row>
    <row r="5" spans="1:22" ht="15.75" thickBot="1">
      <c r="A5" s="40"/>
      <c r="B5" s="41" t="s">
        <v>89</v>
      </c>
      <c r="C5" s="42" t="s">
        <v>89</v>
      </c>
      <c r="D5" s="41" t="s">
        <v>90</v>
      </c>
      <c r="E5" s="41"/>
      <c r="F5" s="43"/>
      <c r="G5" s="41" t="s">
        <v>90</v>
      </c>
      <c r="H5" s="41" t="s">
        <v>91</v>
      </c>
      <c r="I5" s="41" t="s">
        <v>91</v>
      </c>
      <c r="J5" s="41"/>
      <c r="K5" s="41"/>
      <c r="L5" s="41"/>
      <c r="M5" s="41"/>
      <c r="N5" s="41" t="s">
        <v>92</v>
      </c>
      <c r="O5" s="41"/>
      <c r="P5" s="40" t="s">
        <v>93</v>
      </c>
      <c r="Q5" s="41" t="s">
        <v>92</v>
      </c>
      <c r="R5" s="41" t="s">
        <v>92</v>
      </c>
      <c r="S5" s="41" t="s">
        <v>92</v>
      </c>
      <c r="T5" s="41" t="s">
        <v>92</v>
      </c>
      <c r="U5" s="41"/>
      <c r="V5" s="44"/>
    </row>
    <row r="6" spans="1:22">
      <c r="A6" s="72" t="s">
        <v>2</v>
      </c>
      <c r="B6" s="57">
        <v>2</v>
      </c>
      <c r="C6" s="119">
        <v>7.4999999999999997E-2</v>
      </c>
      <c r="D6" s="47">
        <v>3.5</v>
      </c>
      <c r="E6" s="48">
        <f>B6/10^D6</f>
        <v>6.3245553203367566E-4</v>
      </c>
      <c r="F6" s="48">
        <f>E6*1000</f>
        <v>0.63245553203367566</v>
      </c>
      <c r="G6" s="49">
        <v>5.4</v>
      </c>
      <c r="H6" s="47">
        <v>3.5</v>
      </c>
      <c r="I6" s="47">
        <v>17.5</v>
      </c>
      <c r="J6" s="48">
        <f>F6/(1+(I6/1000^2)*(10^G6))</f>
        <v>0.11721253288026418</v>
      </c>
      <c r="K6" s="48">
        <f>F6-J6</f>
        <v>0.51524299915341154</v>
      </c>
      <c r="L6" s="50">
        <f>J6*100/F6</f>
        <v>18.532928710950557</v>
      </c>
      <c r="M6" s="50">
        <f>K6*100/F6</f>
        <v>81.467071289049457</v>
      </c>
      <c r="N6" s="47">
        <v>28.7</v>
      </c>
      <c r="O6" s="47" t="str">
        <f>IF(N6&lt;5,"F","M")</f>
        <v>M</v>
      </c>
      <c r="P6" s="47">
        <v>100</v>
      </c>
      <c r="Q6" s="49">
        <v>13.4</v>
      </c>
      <c r="R6" s="49">
        <v>9</v>
      </c>
      <c r="S6" s="49">
        <v>4.8</v>
      </c>
      <c r="T6" s="49">
        <v>3.1</v>
      </c>
      <c r="U6" s="59">
        <f>IF(O6="F",J6/Q6,J6/S6)</f>
        <v>2.441927768338837E-2</v>
      </c>
      <c r="V6" s="59">
        <f>IF(O6="F",J6/R6,J6/T6)</f>
        <v>3.7810494477504571E-2</v>
      </c>
    </row>
    <row r="7" spans="1:22">
      <c r="A7" s="73" t="s">
        <v>3</v>
      </c>
      <c r="B7" s="60">
        <v>1.7</v>
      </c>
      <c r="C7" s="119">
        <v>7.4999999999999997E-2</v>
      </c>
      <c r="D7" s="52">
        <v>3.5</v>
      </c>
      <c r="E7" s="53">
        <f>B7/10^D7</f>
        <v>5.3758720222862432E-4</v>
      </c>
      <c r="F7" s="53">
        <f>E7*1000</f>
        <v>0.53758720222862433</v>
      </c>
      <c r="G7" s="54">
        <v>5.4</v>
      </c>
      <c r="H7" s="52">
        <v>3.5</v>
      </c>
      <c r="I7" s="52">
        <v>17.5</v>
      </c>
      <c r="J7" s="53">
        <f>F7/(1+(I7/1000^2)*(10^G7))</f>
        <v>9.9630652948224555E-2</v>
      </c>
      <c r="K7" s="53">
        <f>F7-J7</f>
        <v>0.43795654928039979</v>
      </c>
      <c r="L7" s="55">
        <f>J7*100/F7</f>
        <v>18.532928710950557</v>
      </c>
      <c r="M7" s="55">
        <f>K7*100/F7</f>
        <v>81.467071289049443</v>
      </c>
      <c r="N7" s="52">
        <v>28.7</v>
      </c>
      <c r="O7" s="52" t="str">
        <f>IF(N7&lt;5,"F","M")</f>
        <v>M</v>
      </c>
      <c r="P7" s="52">
        <v>100</v>
      </c>
      <c r="Q7" s="54">
        <v>13.4</v>
      </c>
      <c r="R7" s="54">
        <v>9</v>
      </c>
      <c r="S7" s="54">
        <v>4.8</v>
      </c>
      <c r="T7" s="54">
        <v>3.1</v>
      </c>
      <c r="U7" s="62">
        <f>IF(O7="F",J7/Q7,J7/S7)</f>
        <v>2.0756386030880116E-2</v>
      </c>
      <c r="V7" s="62">
        <f>IF(O7="F",J7/R7,J7/T7)</f>
        <v>3.2138920305878886E-2</v>
      </c>
    </row>
  </sheetData>
  <conditionalFormatting sqref="U6:V7">
    <cfRule type="cellIs" dxfId="16" priority="1" stopIfTrue="1" operator="greaterThanOr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Data Summary</vt:lpstr>
      <vt:lpstr>TUa &amp;IWBU Results </vt:lpstr>
      <vt:lpstr>Sb Calcs</vt:lpstr>
      <vt:lpstr>As Calcs </vt:lpstr>
      <vt:lpstr>Ba Calcs</vt:lpstr>
      <vt:lpstr>Be Calcs</vt:lpstr>
      <vt:lpstr>Cd Calcs</vt:lpstr>
      <vt:lpstr>Cr Calcs</vt:lpstr>
      <vt:lpstr>Cu Calcs</vt:lpstr>
      <vt:lpstr>Pb Calcs </vt:lpstr>
      <vt:lpstr>Ni Calcs</vt:lpstr>
      <vt:lpstr>Se Calcs</vt:lpstr>
      <vt:lpstr>Ag Calcs</vt:lpstr>
      <vt:lpstr>Tl Calcs</vt:lpstr>
      <vt:lpstr>Zn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Karen (DNREC)</dc:creator>
  <cp:lastModifiedBy>Taylor, Karen (DNREC)</cp:lastModifiedBy>
  <dcterms:created xsi:type="dcterms:W3CDTF">2024-10-31T15:48:14Z</dcterms:created>
  <dcterms:modified xsi:type="dcterms:W3CDTF">2024-11-21T20:48:37Z</dcterms:modified>
</cp:coreProperties>
</file>