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RECFP01\WatershedStewardship\sediment\03-DURMM\DURMM v2.5\"/>
    </mc:Choice>
  </mc:AlternateContent>
  <xr:revisionPtr revIDLastSave="0" documentId="13_ncr:1_{CDAE2058-35EB-4F2A-BC99-BAF0124EA9E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.A. RCN" sheetId="6" r:id="rId1"/>
    <sheet name="LOD" sheetId="7" r:id="rId2"/>
    <sheet name="OLOD " sheetId="15" r:id="rId3"/>
    <sheet name="RPv" sheetId="4" r:id="rId4"/>
    <sheet name="TMDL" sheetId="1" r:id="rId5"/>
    <sheet name="Cv" sheetId="8" r:id="rId6"/>
    <sheet name="Fv" sheetId="9" r:id="rId7"/>
    <sheet name="DURMM Report" sheetId="10" r:id="rId8"/>
    <sheet name="Data &amp; Documentation" sheetId="16" r:id="rId9"/>
  </sheets>
  <externalReferences>
    <externalReference r:id="rId10"/>
  </externalReferences>
  <definedNames>
    <definedName name="\c">#REF!</definedName>
    <definedName name="\p">#REF!</definedName>
    <definedName name="_C">#REF!</definedName>
    <definedName name="_GoBack" localSheetId="3">RPv!$B$16</definedName>
    <definedName name="depth1">'[1] '!#REF!</definedName>
    <definedName name="depth2">'[1] '!#REF!</definedName>
    <definedName name="done">[0]!done</definedName>
    <definedName name="Module1.done">[0]!Module1.done</definedName>
    <definedName name="pntrcndata">[0]!pntrcndata</definedName>
    <definedName name="pntrunoff">[0]!pntrunoff</definedName>
    <definedName name="_xlnm.Print_Area" localSheetId="0">'C.A. RCN'!$A$1:$O$103</definedName>
    <definedName name="_xlnm.Print_Area" localSheetId="5">Cv!$A$1:$K$30</definedName>
    <definedName name="_xlnm.Print_Area" localSheetId="8">'Data &amp; Documentation'!$A$1:$R$77</definedName>
    <definedName name="_xlnm.Print_Area" localSheetId="6">Fv!$A$1:$K$30</definedName>
    <definedName name="_xlnm.Print_Area" localSheetId="1">LOD!$A$1:$H$41</definedName>
    <definedName name="_xlnm.Print_Area" localSheetId="2">'OLOD '!$A$1:$K$52</definedName>
    <definedName name="_xlnm.Print_Area" localSheetId="3">RPv!$A$1:$K$50</definedName>
    <definedName name="_xlnm.Print_Area" localSheetId="4">TMDL!$A$1:$U$38</definedName>
    <definedName name="_xlnm.Print_Titles" localSheetId="7">'DURMM Report'!$1:$5</definedName>
    <definedName name="RCN">[0]!RCN</definedName>
    <definedName name="reset">[0]!reset</definedName>
    <definedName name="soils1">'[1] '!$BK$1:$BK$246</definedName>
    <definedName name="soils2">'[1] '!$BL$1:$BL$246</definedName>
    <definedName name="soils3">'[1] '!$BO$1:$BO$246</definedName>
    <definedName name="Storage">[0]!Storage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7" l="1"/>
  <c r="D11" i="7"/>
  <c r="E11" i="7"/>
  <c r="B11" i="7"/>
  <c r="B29" i="4" l="1"/>
  <c r="B28" i="4"/>
  <c r="J26" i="4" l="1"/>
  <c r="H26" i="4"/>
  <c r="D26" i="4"/>
  <c r="B26" i="4"/>
  <c r="F26" i="4"/>
  <c r="J16" i="4"/>
  <c r="H16" i="4"/>
  <c r="F16" i="4"/>
  <c r="D16" i="4"/>
  <c r="E25" i="7" l="1"/>
  <c r="E11" i="10" s="1"/>
  <c r="D25" i="7"/>
  <c r="D11" i="10" s="1"/>
  <c r="C25" i="7"/>
  <c r="C11" i="10" s="1"/>
  <c r="B25" i="7"/>
  <c r="B11" i="10" s="1"/>
  <c r="B16" i="4" l="1"/>
  <c r="E16" i="7" l="1"/>
  <c r="D16" i="7"/>
  <c r="B16" i="7"/>
  <c r="C16" i="7"/>
  <c r="C17" i="7" l="1"/>
  <c r="E17" i="7" l="1"/>
  <c r="D17" i="7"/>
  <c r="B17" i="7"/>
  <c r="B14" i="7" l="1"/>
  <c r="B15" i="7" s="1"/>
  <c r="C14" i="7"/>
  <c r="C15" i="7" s="1"/>
  <c r="B1" i="7"/>
  <c r="B2" i="7"/>
  <c r="B3" i="7"/>
  <c r="H90" i="6"/>
  <c r="P88" i="6"/>
  <c r="P87" i="6"/>
  <c r="P84" i="6"/>
  <c r="P80" i="6"/>
  <c r="P79" i="6"/>
  <c r="P78" i="6"/>
  <c r="P77" i="6"/>
  <c r="P76" i="6"/>
  <c r="P75" i="6"/>
  <c r="P73" i="6"/>
  <c r="P72" i="6"/>
  <c r="P70" i="6"/>
  <c r="P69" i="6"/>
  <c r="P68" i="6"/>
  <c r="P67" i="6"/>
  <c r="P65" i="6"/>
  <c r="P63" i="6"/>
  <c r="P62" i="6"/>
  <c r="P61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M88" i="6"/>
  <c r="M87" i="6"/>
  <c r="M84" i="6"/>
  <c r="M80" i="6"/>
  <c r="M79" i="6"/>
  <c r="M78" i="6"/>
  <c r="M77" i="6"/>
  <c r="M76" i="6"/>
  <c r="M75" i="6"/>
  <c r="M73" i="6"/>
  <c r="M72" i="6"/>
  <c r="M70" i="6"/>
  <c r="M69" i="6"/>
  <c r="M68" i="6"/>
  <c r="M67" i="6"/>
  <c r="M65" i="6"/>
  <c r="M63" i="6"/>
  <c r="M62" i="6"/>
  <c r="M61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J88" i="6"/>
  <c r="J87" i="6"/>
  <c r="J84" i="6"/>
  <c r="J80" i="6"/>
  <c r="J79" i="6"/>
  <c r="J78" i="6"/>
  <c r="J77" i="6"/>
  <c r="J76" i="6"/>
  <c r="J75" i="6"/>
  <c r="J73" i="6"/>
  <c r="J72" i="6"/>
  <c r="J70" i="6"/>
  <c r="J69" i="6"/>
  <c r="J68" i="6"/>
  <c r="J67" i="6"/>
  <c r="J65" i="6"/>
  <c r="J62" i="6"/>
  <c r="J61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G88" i="6"/>
  <c r="G87" i="6"/>
  <c r="G84" i="6"/>
  <c r="G80" i="6"/>
  <c r="G79" i="6"/>
  <c r="G78" i="6"/>
  <c r="G77" i="6"/>
  <c r="G76" i="6"/>
  <c r="G75" i="6"/>
  <c r="G73" i="6"/>
  <c r="G72" i="6"/>
  <c r="G70" i="6"/>
  <c r="G69" i="6"/>
  <c r="G68" i="6"/>
  <c r="G67" i="6"/>
  <c r="G65" i="6"/>
  <c r="G63" i="6"/>
  <c r="G62" i="6"/>
  <c r="G61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N90" i="6"/>
  <c r="K90" i="6"/>
  <c r="E90" i="6"/>
  <c r="D14" i="7"/>
  <c r="D15" i="7" s="1"/>
  <c r="E21" i="15"/>
  <c r="E20" i="15"/>
  <c r="E19" i="15"/>
  <c r="G19" i="15"/>
  <c r="E28" i="1"/>
  <c r="B17" i="10" s="1"/>
  <c r="D28" i="1"/>
  <c r="B16" i="10" s="1"/>
  <c r="C28" i="1"/>
  <c r="B15" i="10" s="1"/>
  <c r="J17" i="4"/>
  <c r="H17" i="4"/>
  <c r="F17" i="4"/>
  <c r="D17" i="4"/>
  <c r="B17" i="4"/>
  <c r="F3" i="10"/>
  <c r="B3" i="10"/>
  <c r="F23" i="15"/>
  <c r="F22" i="15"/>
  <c r="E12" i="10"/>
  <c r="D12" i="10"/>
  <c r="C12" i="10"/>
  <c r="B12" i="10"/>
  <c r="F20" i="10"/>
  <c r="E20" i="10"/>
  <c r="D20" i="10"/>
  <c r="C20" i="10"/>
  <c r="B20" i="10"/>
  <c r="K6" i="9"/>
  <c r="I6" i="9"/>
  <c r="G6" i="9"/>
  <c r="E6" i="9"/>
  <c r="C6" i="9"/>
  <c r="K6" i="8"/>
  <c r="I6" i="8"/>
  <c r="H14" i="8" s="1"/>
  <c r="G6" i="8"/>
  <c r="E6" i="8"/>
  <c r="C6" i="8"/>
  <c r="B21" i="8" s="1"/>
  <c r="S6" i="1"/>
  <c r="O6" i="1"/>
  <c r="K6" i="1"/>
  <c r="G6" i="1"/>
  <c r="C6" i="1"/>
  <c r="B1" i="10"/>
  <c r="B2" i="10"/>
  <c r="B57" i="10" s="1"/>
  <c r="B4" i="10"/>
  <c r="B1" i="9"/>
  <c r="B2" i="9"/>
  <c r="B3" i="9"/>
  <c r="B10" i="9" s="1"/>
  <c r="B1" i="8"/>
  <c r="B2" i="8"/>
  <c r="B3" i="8"/>
  <c r="B10" i="8" s="1"/>
  <c r="B1" i="1"/>
  <c r="B2" i="1"/>
  <c r="B1" i="4"/>
  <c r="B2" i="4"/>
  <c r="B3" i="4"/>
  <c r="B1" i="15"/>
  <c r="B2" i="15"/>
  <c r="B3" i="15"/>
  <c r="C46" i="15" s="1"/>
  <c r="B4" i="15"/>
  <c r="B44" i="15" s="1"/>
  <c r="G20" i="15"/>
  <c r="G21" i="15"/>
  <c r="G22" i="15"/>
  <c r="G23" i="15"/>
  <c r="F24" i="15"/>
  <c r="G24" i="15"/>
  <c r="G25" i="15"/>
  <c r="G26" i="15"/>
  <c r="G27" i="15"/>
  <c r="G28" i="15"/>
  <c r="G29" i="15"/>
  <c r="U56" i="15"/>
  <c r="U57" i="15"/>
  <c r="U58" i="15" s="1"/>
  <c r="U59" i="15" s="1"/>
  <c r="U60" i="15" s="1"/>
  <c r="U61" i="15" s="1"/>
  <c r="U62" i="15" s="1"/>
  <c r="U63" i="15" s="1"/>
  <c r="U64" i="15" s="1"/>
  <c r="U65" i="15" s="1"/>
  <c r="U66" i="15" s="1"/>
  <c r="U67" i="15" s="1"/>
  <c r="U68" i="15" s="1"/>
  <c r="U69" i="15" s="1"/>
  <c r="U70" i="15" s="1"/>
  <c r="U71" i="15" s="1"/>
  <c r="U72" i="15" s="1"/>
  <c r="U73" i="15" s="1"/>
  <c r="U74" i="15" s="1"/>
  <c r="U75" i="15" s="1"/>
  <c r="U76" i="15" s="1"/>
  <c r="U77" i="15" s="1"/>
  <c r="U78" i="15" s="1"/>
  <c r="U79" i="15" s="1"/>
  <c r="U80" i="15" s="1"/>
  <c r="U81" i="15" s="1"/>
  <c r="U82" i="15" s="1"/>
  <c r="U83" i="15" s="1"/>
  <c r="U84" i="15" s="1"/>
  <c r="U85" i="15" s="1"/>
  <c r="U86" i="15" s="1"/>
  <c r="U87" i="15" s="1"/>
  <c r="U88" i="15" s="1"/>
  <c r="U89" i="15" s="1"/>
  <c r="U90" i="15" s="1"/>
  <c r="U91" i="15" s="1"/>
  <c r="U92" i="15" s="1"/>
  <c r="U93" i="15" s="1"/>
  <c r="U94" i="15" s="1"/>
  <c r="U95" i="15" s="1"/>
  <c r="U96" i="15" s="1"/>
  <c r="U97" i="15" s="1"/>
  <c r="U98" i="15" s="1"/>
  <c r="U99" i="15" s="1"/>
  <c r="U100" i="15" s="1"/>
  <c r="U101" i="15" s="1"/>
  <c r="U102" i="15" s="1"/>
  <c r="U103" i="15" s="1"/>
  <c r="U104" i="15" s="1"/>
  <c r="U105" i="15" s="1"/>
  <c r="U106" i="15" s="1"/>
  <c r="U107" i="15" s="1"/>
  <c r="U108" i="15" s="1"/>
  <c r="U109" i="15" s="1"/>
  <c r="U110" i="15" s="1"/>
  <c r="B4" i="7"/>
  <c r="E14" i="7"/>
  <c r="E15" i="7" s="1"/>
  <c r="G7" i="6"/>
  <c r="J7" i="6"/>
  <c r="M7" i="6"/>
  <c r="P7" i="6"/>
  <c r="J63" i="6"/>
  <c r="B19" i="7"/>
  <c r="B22" i="7" l="1"/>
  <c r="B21" i="7"/>
  <c r="E14" i="1"/>
  <c r="D14" i="1"/>
  <c r="C14" i="1"/>
  <c r="U23" i="1"/>
  <c r="T23" i="1"/>
  <c r="S23" i="1"/>
  <c r="Q23" i="1"/>
  <c r="P23" i="1"/>
  <c r="O23" i="1"/>
  <c r="M23" i="1"/>
  <c r="K23" i="1"/>
  <c r="L23" i="1"/>
  <c r="D23" i="1"/>
  <c r="E23" i="1"/>
  <c r="C23" i="1"/>
  <c r="I23" i="1"/>
  <c r="G23" i="1"/>
  <c r="H23" i="1"/>
  <c r="B74" i="10"/>
  <c r="F14" i="8"/>
  <c r="F15" i="8" s="1"/>
  <c r="B34" i="7"/>
  <c r="B20" i="7"/>
  <c r="B10" i="10" s="1"/>
  <c r="B9" i="10"/>
  <c r="J14" i="9"/>
  <c r="J15" i="9" s="1"/>
  <c r="F14" i="9"/>
  <c r="F15" i="9" s="1"/>
  <c r="J14" i="8"/>
  <c r="J15" i="8" s="1"/>
  <c r="D21" i="9"/>
  <c r="B14" i="8"/>
  <c r="B15" i="8" s="1"/>
  <c r="B14" i="9"/>
  <c r="B15" i="9" s="1"/>
  <c r="B46" i="15"/>
  <c r="H21" i="8"/>
  <c r="H15" i="8"/>
  <c r="F21" i="8"/>
  <c r="F21" i="9"/>
  <c r="D14" i="9"/>
  <c r="D15" i="9" s="1"/>
  <c r="B21" i="9"/>
  <c r="J99" i="6"/>
  <c r="K100" i="6"/>
  <c r="C91" i="6"/>
  <c r="B10" i="15" s="1"/>
  <c r="D14" i="8"/>
  <c r="D15" i="8" s="1"/>
  <c r="P99" i="6"/>
  <c r="B71" i="10"/>
  <c r="G31" i="15"/>
  <c r="M99" i="6"/>
  <c r="G99" i="6"/>
  <c r="J21" i="8"/>
  <c r="D21" i="8"/>
  <c r="H15" i="9"/>
  <c r="J21" i="9"/>
  <c r="H14" i="9"/>
  <c r="H21" i="9"/>
  <c r="C24" i="1" l="1"/>
  <c r="G14" i="1" s="1"/>
  <c r="G24" i="1" s="1"/>
  <c r="K14" i="1" s="1"/>
  <c r="K24" i="1" s="1"/>
  <c r="O14" i="1" s="1"/>
  <c r="O24" i="1" s="1"/>
  <c r="S14" i="1" s="1"/>
  <c r="S24" i="1" s="1"/>
  <c r="E24" i="1"/>
  <c r="I14" i="1" s="1"/>
  <c r="I24" i="1" s="1"/>
  <c r="M14" i="1" s="1"/>
  <c r="M24" i="1" s="1"/>
  <c r="Q14" i="1" s="1"/>
  <c r="Q24" i="1" s="1"/>
  <c r="U14" i="1" s="1"/>
  <c r="U24" i="1" s="1"/>
  <c r="D24" i="1"/>
  <c r="H14" i="1" s="1"/>
  <c r="H24" i="1" s="1"/>
  <c r="L14" i="1" s="1"/>
  <c r="L24" i="1" s="1"/>
  <c r="P14" i="1" s="1"/>
  <c r="P24" i="1" s="1"/>
  <c r="T14" i="1" s="1"/>
  <c r="T24" i="1" s="1"/>
  <c r="B8" i="4"/>
  <c r="B67" i="10"/>
  <c r="B37" i="7"/>
  <c r="B59" i="10" s="1"/>
  <c r="B36" i="7"/>
  <c r="B13" i="10"/>
  <c r="B35" i="7"/>
  <c r="B14" i="10" s="1"/>
  <c r="B8" i="15"/>
  <c r="B12" i="15" s="1"/>
  <c r="B66" i="10"/>
  <c r="K102" i="6"/>
  <c r="B58" i="10"/>
  <c r="B7" i="10"/>
  <c r="B75" i="10"/>
  <c r="B11" i="15"/>
  <c r="C92" i="6"/>
  <c r="B9" i="15" s="1"/>
  <c r="F18" i="4" l="1"/>
  <c r="H18" i="4"/>
  <c r="J18" i="4"/>
  <c r="B18" i="4"/>
  <c r="D18" i="4"/>
  <c r="B8" i="1"/>
  <c r="B8" i="8"/>
  <c r="D8" i="8" s="1"/>
  <c r="B8" i="9"/>
  <c r="D8" i="9" s="1"/>
  <c r="B39" i="7"/>
  <c r="B40" i="7" s="1"/>
  <c r="B9" i="4"/>
  <c r="B10" i="4" s="1"/>
  <c r="B38" i="7"/>
  <c r="B13" i="15"/>
  <c r="B50" i="15" s="1"/>
  <c r="B8" i="10"/>
  <c r="B16" i="9" l="1"/>
  <c r="B16" i="8"/>
  <c r="F8" i="9"/>
  <c r="D16" i="9"/>
  <c r="F8" i="8"/>
  <c r="D16" i="8"/>
  <c r="B9" i="1"/>
  <c r="B35" i="10"/>
  <c r="B9" i="8"/>
  <c r="B11" i="8" s="1"/>
  <c r="B49" i="10" s="1"/>
  <c r="B11" i="4"/>
  <c r="B37" i="10" s="1"/>
  <c r="B39" i="10" s="1"/>
  <c r="B23" i="4"/>
  <c r="B24" i="4" s="1"/>
  <c r="B10" i="1" s="1"/>
  <c r="B11" i="1" s="1"/>
  <c r="B9" i="9"/>
  <c r="B11" i="9" s="1"/>
  <c r="B53" i="10" s="1"/>
  <c r="B47" i="15"/>
  <c r="C47" i="15" s="1"/>
  <c r="C48" i="15" s="1"/>
  <c r="C50" i="15"/>
  <c r="H8" i="8" l="1"/>
  <c r="F16" i="8"/>
  <c r="H8" i="9"/>
  <c r="F16" i="9"/>
  <c r="B17" i="8"/>
  <c r="B18" i="8" s="1"/>
  <c r="B22" i="8"/>
  <c r="B23" i="8" s="1"/>
  <c r="B24" i="8" s="1"/>
  <c r="B27" i="8" s="1"/>
  <c r="B19" i="4"/>
  <c r="B20" i="4" s="1"/>
  <c r="B17" i="9"/>
  <c r="B18" i="9" s="1"/>
  <c r="B22" i="9"/>
  <c r="B23" i="9" s="1"/>
  <c r="B24" i="9" s="1"/>
  <c r="B27" i="9" s="1"/>
  <c r="B36" i="10"/>
  <c r="B12" i="4"/>
  <c r="B38" i="10" s="1"/>
  <c r="B48" i="15"/>
  <c r="N52" i="15" s="1"/>
  <c r="E15" i="1"/>
  <c r="E16" i="1" s="1"/>
  <c r="D15" i="1"/>
  <c r="D16" i="1" s="1"/>
  <c r="C15" i="1"/>
  <c r="C16" i="1" s="1"/>
  <c r="N65" i="15"/>
  <c r="N53" i="15"/>
  <c r="J8" i="9" l="1"/>
  <c r="J16" i="9" s="1"/>
  <c r="H16" i="9"/>
  <c r="J8" i="8"/>
  <c r="J16" i="8" s="1"/>
  <c r="H16" i="8"/>
  <c r="B28" i="9"/>
  <c r="D22" i="9"/>
  <c r="D23" i="9" s="1"/>
  <c r="D24" i="9" s="1"/>
  <c r="D27" i="9" s="1"/>
  <c r="D17" i="9"/>
  <c r="D18" i="9" s="1"/>
  <c r="B31" i="10"/>
  <c r="D22" i="8"/>
  <c r="D23" i="8" s="1"/>
  <c r="D24" i="8" s="1"/>
  <c r="D27" i="8" s="1"/>
  <c r="D17" i="8"/>
  <c r="D18" i="8" s="1"/>
  <c r="B29" i="8"/>
  <c r="B28" i="8"/>
  <c r="B32" i="10"/>
  <c r="B29" i="9"/>
  <c r="N64" i="15"/>
  <c r="Q64" i="15" s="1"/>
  <c r="P53" i="15"/>
  <c r="O53" i="15"/>
  <c r="Q53" i="15"/>
  <c r="P65" i="15"/>
  <c r="Q65" i="15"/>
  <c r="O65" i="15"/>
  <c r="P52" i="15"/>
  <c r="Q52" i="15"/>
  <c r="O52" i="15"/>
  <c r="F22" i="8" l="1"/>
  <c r="F23" i="8" s="1"/>
  <c r="F24" i="8" s="1"/>
  <c r="F27" i="8" s="1"/>
  <c r="F17" i="8"/>
  <c r="F18" i="8" s="1"/>
  <c r="F22" i="9"/>
  <c r="F23" i="9" s="1"/>
  <c r="F24" i="9" s="1"/>
  <c r="F27" i="9" s="1"/>
  <c r="F17" i="9"/>
  <c r="F18" i="9" s="1"/>
  <c r="C31" i="10"/>
  <c r="D28" i="8"/>
  <c r="D29" i="8"/>
  <c r="D28" i="9"/>
  <c r="D29" i="9"/>
  <c r="C32" i="10"/>
  <c r="O64" i="15"/>
  <c r="P64" i="15"/>
  <c r="R65" i="15"/>
  <c r="R53" i="15"/>
  <c r="R52" i="15"/>
  <c r="C49" i="15" l="1"/>
  <c r="C51" i="15" s="1"/>
  <c r="C52" i="15" s="1"/>
  <c r="H22" i="9"/>
  <c r="H23" i="9" s="1"/>
  <c r="H24" i="9" s="1"/>
  <c r="H27" i="9" s="1"/>
  <c r="H17" i="9"/>
  <c r="H18" i="9" s="1"/>
  <c r="H22" i="8"/>
  <c r="H23" i="8" s="1"/>
  <c r="H24" i="8" s="1"/>
  <c r="H27" i="8" s="1"/>
  <c r="H17" i="8"/>
  <c r="H18" i="8" s="1"/>
  <c r="D31" i="10"/>
  <c r="F29" i="8"/>
  <c r="F28" i="8"/>
  <c r="D32" i="10"/>
  <c r="F29" i="9"/>
  <c r="F28" i="9"/>
  <c r="R64" i="15"/>
  <c r="B49" i="15" s="1"/>
  <c r="B51" i="15" s="1"/>
  <c r="B52" i="15" s="1"/>
  <c r="J22" i="9" l="1"/>
  <c r="J23" i="9" s="1"/>
  <c r="J24" i="9" s="1"/>
  <c r="J27" i="9" s="1"/>
  <c r="B63" i="10" s="1"/>
  <c r="J17" i="9"/>
  <c r="J18" i="9" s="1"/>
  <c r="E32" i="10"/>
  <c r="H29" i="9"/>
  <c r="H28" i="9"/>
  <c r="J22" i="8"/>
  <c r="J23" i="8" s="1"/>
  <c r="J24" i="8" s="1"/>
  <c r="J27" i="8" s="1"/>
  <c r="B62" i="10" s="1"/>
  <c r="J17" i="8"/>
  <c r="J18" i="8" s="1"/>
  <c r="H29" i="8"/>
  <c r="H28" i="8"/>
  <c r="E31" i="10"/>
  <c r="J29" i="9" l="1"/>
  <c r="B79" i="10" s="1"/>
  <c r="J28" i="9"/>
  <c r="F32" i="10"/>
  <c r="F31" i="10"/>
  <c r="J28" i="8"/>
  <c r="J29" i="8"/>
  <c r="B78" i="10" s="1"/>
  <c r="B50" i="10" l="1"/>
  <c r="B54" i="10"/>
  <c r="B27" i="4" l="1"/>
  <c r="B33" i="4" l="1"/>
  <c r="B32" i="4" s="1"/>
  <c r="B37" i="4"/>
  <c r="E35" i="1" l="1"/>
  <c r="B38" i="4"/>
  <c r="D19" i="4" l="1"/>
  <c r="D20" i="4" s="1"/>
  <c r="D23" i="4"/>
  <c r="D24" i="4" s="1"/>
  <c r="D27" i="4" s="1"/>
  <c r="D28" i="4" s="1"/>
  <c r="B23" i="10"/>
  <c r="B34" i="4"/>
  <c r="D35" i="1"/>
  <c r="C35" i="1"/>
  <c r="B35" i="4"/>
  <c r="B19" i="1"/>
  <c r="B20" i="1"/>
  <c r="B36" i="4" l="1"/>
  <c r="B25" i="10" s="1"/>
  <c r="D37" i="4"/>
  <c r="D38" i="4" s="1"/>
  <c r="D29" i="4"/>
  <c r="D33" i="4" s="1"/>
  <c r="B24" i="10"/>
  <c r="B39" i="4"/>
  <c r="B40" i="4" s="1"/>
  <c r="B21" i="1"/>
  <c r="C22" i="1" s="1"/>
  <c r="C25" i="1" s="1"/>
  <c r="C30" i="1" l="1"/>
  <c r="C29" i="1"/>
  <c r="D34" i="4"/>
  <c r="D32" i="4"/>
  <c r="H35" i="1"/>
  <c r="B26" i="10"/>
  <c r="G35" i="1"/>
  <c r="F19" i="4"/>
  <c r="F20" i="4" s="1"/>
  <c r="I35" i="1"/>
  <c r="D35" i="4"/>
  <c r="C23" i="10"/>
  <c r="F23" i="4"/>
  <c r="F24" i="4" s="1"/>
  <c r="F27" i="4" s="1"/>
  <c r="F28" i="4" s="1"/>
  <c r="F29" i="4" s="1"/>
  <c r="F33" i="4" s="1"/>
  <c r="B43" i="4"/>
  <c r="B44" i="4" s="1"/>
  <c r="B45" i="4" s="1"/>
  <c r="E22" i="1"/>
  <c r="D22" i="1"/>
  <c r="B28" i="10"/>
  <c r="C33" i="1"/>
  <c r="C34" i="1" s="1"/>
  <c r="C36" i="1" s="1"/>
  <c r="C37" i="1" s="1"/>
  <c r="C38" i="1" s="1"/>
  <c r="G16" i="1"/>
  <c r="F20" i="1"/>
  <c r="F19" i="1"/>
  <c r="I15" i="1"/>
  <c r="G15" i="1"/>
  <c r="H15" i="1"/>
  <c r="D39" i="4" l="1"/>
  <c r="D40" i="4" s="1"/>
  <c r="D36" i="4"/>
  <c r="C25" i="10" s="1"/>
  <c r="D25" i="1"/>
  <c r="D29" i="1" s="1"/>
  <c r="E25" i="1"/>
  <c r="I16" i="1" s="1"/>
  <c r="F32" i="4"/>
  <c r="F34" i="4"/>
  <c r="H23" i="4"/>
  <c r="H24" i="4" s="1"/>
  <c r="H27" i="4" s="1"/>
  <c r="H28" i="4" s="1"/>
  <c r="C24" i="10"/>
  <c r="F37" i="4"/>
  <c r="F38" i="4" s="1"/>
  <c r="B27" i="10"/>
  <c r="B46" i="4"/>
  <c r="B47" i="4" s="1"/>
  <c r="M35" i="1"/>
  <c r="D23" i="10"/>
  <c r="L35" i="1"/>
  <c r="K35" i="1"/>
  <c r="F35" i="4"/>
  <c r="H19" i="4"/>
  <c r="H20" i="4" s="1"/>
  <c r="H16" i="1"/>
  <c r="F21" i="1"/>
  <c r="I22" i="1" l="1"/>
  <c r="I25" i="1" s="1"/>
  <c r="C30" i="10" s="1"/>
  <c r="D24" i="10"/>
  <c r="F36" i="4"/>
  <c r="D25" i="10" s="1"/>
  <c r="D43" i="4"/>
  <c r="D44" i="4" s="1"/>
  <c r="D45" i="4" s="1"/>
  <c r="C26" i="10"/>
  <c r="E30" i="1"/>
  <c r="B30" i="10"/>
  <c r="B29" i="10"/>
  <c r="D30" i="1"/>
  <c r="D33" i="1"/>
  <c r="D34" i="1" s="1"/>
  <c r="D36" i="1" s="1"/>
  <c r="D37" i="1" s="1"/>
  <c r="D38" i="1" s="1"/>
  <c r="E33" i="1"/>
  <c r="E34" i="1" s="1"/>
  <c r="E36" i="1" s="1"/>
  <c r="E37" i="1" s="1"/>
  <c r="E38" i="1" s="1"/>
  <c r="E29" i="1"/>
  <c r="I30" i="1"/>
  <c r="H29" i="4"/>
  <c r="H33" i="4" s="1"/>
  <c r="F39" i="4"/>
  <c r="F40" i="4" s="1"/>
  <c r="I29" i="1"/>
  <c r="H37" i="4"/>
  <c r="G22" i="1"/>
  <c r="M15" i="1"/>
  <c r="K15" i="1"/>
  <c r="L15" i="1"/>
  <c r="J20" i="1"/>
  <c r="J19" i="1"/>
  <c r="H22" i="1"/>
  <c r="M16" i="1" l="1"/>
  <c r="I33" i="1"/>
  <c r="I34" i="1" s="1"/>
  <c r="I36" i="1" s="1"/>
  <c r="I37" i="1" s="1"/>
  <c r="I38" i="1" s="1"/>
  <c r="G25" i="1"/>
  <c r="G30" i="1" s="1"/>
  <c r="H25" i="1"/>
  <c r="H30" i="1" s="1"/>
  <c r="H34" i="4"/>
  <c r="H32" i="4"/>
  <c r="D46" i="4"/>
  <c r="D47" i="4" s="1"/>
  <c r="C27" i="10"/>
  <c r="J23" i="4"/>
  <c r="J24" i="4" s="1"/>
  <c r="J27" i="4" s="1"/>
  <c r="J28" i="4" s="1"/>
  <c r="F43" i="4"/>
  <c r="D26" i="10"/>
  <c r="H35" i="4"/>
  <c r="E23" i="10"/>
  <c r="J19" i="4"/>
  <c r="J20" i="4" s="1"/>
  <c r="O35" i="1"/>
  <c r="P35" i="1"/>
  <c r="Q35" i="1"/>
  <c r="G29" i="1"/>
  <c r="H29" i="1"/>
  <c r="H38" i="4"/>
  <c r="J21" i="1"/>
  <c r="M22" i="1" s="1"/>
  <c r="M25" i="1" s="1"/>
  <c r="L16" i="1" l="1"/>
  <c r="K16" i="1"/>
  <c r="H36" i="4"/>
  <c r="E25" i="10" s="1"/>
  <c r="G33" i="1"/>
  <c r="G34" i="1" s="1"/>
  <c r="G36" i="1" s="1"/>
  <c r="G37" i="1" s="1"/>
  <c r="G38" i="1" s="1"/>
  <c r="C28" i="10"/>
  <c r="H33" i="1"/>
  <c r="H34" i="1" s="1"/>
  <c r="H36" i="1" s="1"/>
  <c r="H37" i="1" s="1"/>
  <c r="H38" i="1" s="1"/>
  <c r="C29" i="10"/>
  <c r="K29" i="1"/>
  <c r="M29" i="1"/>
  <c r="M30" i="1"/>
  <c r="F44" i="4"/>
  <c r="F45" i="4" s="1"/>
  <c r="H39" i="4"/>
  <c r="H40" i="4" s="1"/>
  <c r="E24" i="10"/>
  <c r="J29" i="4"/>
  <c r="J33" i="4" s="1"/>
  <c r="L22" i="1"/>
  <c r="K22" i="1"/>
  <c r="K25" i="1" s="1"/>
  <c r="J37" i="4"/>
  <c r="O15" i="1"/>
  <c r="P15" i="1"/>
  <c r="Q15" i="1"/>
  <c r="N20" i="1"/>
  <c r="N19" i="1"/>
  <c r="Q16" i="1"/>
  <c r="M33" i="1"/>
  <c r="M34" i="1" s="1"/>
  <c r="M36" i="1" s="1"/>
  <c r="M37" i="1" s="1"/>
  <c r="M38" i="1" s="1"/>
  <c r="D30" i="10"/>
  <c r="L25" i="1" l="1"/>
  <c r="D29" i="10" s="1"/>
  <c r="O16" i="1"/>
  <c r="K30" i="1"/>
  <c r="F46" i="4"/>
  <c r="F47" i="4" s="1"/>
  <c r="J32" i="4"/>
  <c r="B40" i="10" s="1"/>
  <c r="J34" i="4"/>
  <c r="D27" i="10"/>
  <c r="H43" i="4"/>
  <c r="E26" i="10"/>
  <c r="U35" i="1"/>
  <c r="B61" i="10"/>
  <c r="S35" i="1"/>
  <c r="T35" i="1"/>
  <c r="F23" i="10"/>
  <c r="J35" i="4"/>
  <c r="K33" i="1"/>
  <c r="K34" i="1" s="1"/>
  <c r="K36" i="1" s="1"/>
  <c r="K37" i="1" s="1"/>
  <c r="K38" i="1" s="1"/>
  <c r="D28" i="10"/>
  <c r="J38" i="4"/>
  <c r="B60" i="10"/>
  <c r="B77" i="10"/>
  <c r="N21" i="1"/>
  <c r="P16" i="1" l="1"/>
  <c r="P29" i="1" s="1"/>
  <c r="J39" i="4"/>
  <c r="J40" i="4" s="1"/>
  <c r="J36" i="4"/>
  <c r="F25" i="10" s="1"/>
  <c r="P22" i="1"/>
  <c r="P25" i="1" s="1"/>
  <c r="E29" i="10" s="1"/>
  <c r="L33" i="1"/>
  <c r="L34" i="1" s="1"/>
  <c r="L36" i="1" s="1"/>
  <c r="L37" i="1" s="1"/>
  <c r="L38" i="1" s="1"/>
  <c r="L30" i="1"/>
  <c r="L29" i="1"/>
  <c r="T16" i="1"/>
  <c r="H44" i="4"/>
  <c r="H45" i="4" s="1"/>
  <c r="F24" i="10"/>
  <c r="O22" i="1"/>
  <c r="O25" i="1" s="1"/>
  <c r="Q22" i="1"/>
  <c r="Q25" i="1" s="1"/>
  <c r="S15" i="1"/>
  <c r="U15" i="1"/>
  <c r="T15" i="1"/>
  <c r="R20" i="1"/>
  <c r="R19" i="1"/>
  <c r="Q29" i="1"/>
  <c r="O29" i="1"/>
  <c r="P30" i="1" l="1"/>
  <c r="J43" i="4"/>
  <c r="J44" i="4" s="1"/>
  <c r="J45" i="4" s="1"/>
  <c r="B41" i="10" s="1"/>
  <c r="P33" i="1"/>
  <c r="P34" i="1" s="1"/>
  <c r="P36" i="1" s="1"/>
  <c r="P37" i="1" s="1"/>
  <c r="P38" i="1" s="1"/>
  <c r="F26" i="10"/>
  <c r="S16" i="1"/>
  <c r="O30" i="1"/>
  <c r="Q33" i="1"/>
  <c r="Q34" i="1" s="1"/>
  <c r="Q36" i="1" s="1"/>
  <c r="Q37" i="1" s="1"/>
  <c r="Q38" i="1" s="1"/>
  <c r="Q30" i="1"/>
  <c r="H46" i="4"/>
  <c r="H47" i="4" s="1"/>
  <c r="E27" i="10"/>
  <c r="E30" i="10"/>
  <c r="E28" i="10"/>
  <c r="O33" i="1"/>
  <c r="O34" i="1" s="1"/>
  <c r="O36" i="1" s="1"/>
  <c r="O37" i="1" s="1"/>
  <c r="O38" i="1" s="1"/>
  <c r="U16" i="1"/>
  <c r="R21" i="1"/>
  <c r="T22" i="1" s="1"/>
  <c r="T25" i="1" s="1"/>
  <c r="T29" i="1" l="1"/>
  <c r="T30" i="1"/>
  <c r="U22" i="1"/>
  <c r="S22" i="1"/>
  <c r="S25" i="1" s="1"/>
  <c r="J46" i="4"/>
  <c r="F27" i="10"/>
  <c r="C41" i="10"/>
  <c r="D41" i="10" s="1"/>
  <c r="B76" i="10"/>
  <c r="C76" i="10" s="1"/>
  <c r="D76" i="10" s="1"/>
  <c r="F29" i="10"/>
  <c r="T33" i="1"/>
  <c r="T34" i="1" s="1"/>
  <c r="T36" i="1" s="1"/>
  <c r="T37" i="1" s="1"/>
  <c r="T38" i="1" s="1"/>
  <c r="U25" i="1" l="1"/>
  <c r="B69" i="10"/>
  <c r="B81" i="10"/>
  <c r="B45" i="10"/>
  <c r="S29" i="1"/>
  <c r="S30" i="1"/>
  <c r="S33" i="1"/>
  <c r="S34" i="1" s="1"/>
  <c r="S36" i="1" s="1"/>
  <c r="S37" i="1" s="1"/>
  <c r="S38" i="1" s="1"/>
  <c r="F28" i="10"/>
  <c r="B42" i="10"/>
  <c r="J47" i="4"/>
  <c r="B43" i="10" s="1"/>
  <c r="U30" i="1" l="1"/>
  <c r="B82" i="10" s="1"/>
  <c r="U29" i="1"/>
  <c r="U33" i="1"/>
  <c r="U34" i="1" s="1"/>
  <c r="U36" i="1" s="1"/>
  <c r="U37" i="1" s="1"/>
  <c r="U38" i="1" s="1"/>
  <c r="F30" i="10"/>
  <c r="B68" i="10"/>
  <c r="B44" i="10"/>
  <c r="B80" i="10"/>
  <c r="B46" i="10" l="1"/>
  <c r="B70" i="10"/>
</calcChain>
</file>

<file path=xl/sharedStrings.xml><?xml version="1.0" encoding="utf-8"?>
<sst xmlns="http://schemas.openxmlformats.org/spreadsheetml/2006/main" count="1788" uniqueCount="619">
  <si>
    <t>Data</t>
  </si>
  <si>
    <t>BMP 1</t>
  </si>
  <si>
    <t>BMP 2</t>
  </si>
  <si>
    <t>BMP 3</t>
  </si>
  <si>
    <t>PROJECT:</t>
  </si>
  <si>
    <t>TMDL WATERSHED:</t>
  </si>
  <si>
    <t>Type:</t>
  </si>
  <si>
    <t>DRAINAGE SUBAREA ID:</t>
  </si>
  <si>
    <t>3.1  Annual CN (ACN)</t>
  </si>
  <si>
    <t>BMP 4</t>
  </si>
  <si>
    <t>BMP 5</t>
  </si>
  <si>
    <t>3.2  Annual runoff (in.)</t>
  </si>
  <si>
    <t>2.1  Storage volume (cu. ft.)</t>
  </si>
  <si>
    <t>Step 1 - Calculate Initial RPv</t>
  </si>
  <si>
    <t>Step 3 - Adjust for Annual Runoff Reduction</t>
  </si>
  <si>
    <t>Step 2 - Adjust for Retention Reduction</t>
  </si>
  <si>
    <t>Cover Type</t>
  </si>
  <si>
    <t>Treatment</t>
  </si>
  <si>
    <t>Curve Numbers for Hydrologic Soil Type</t>
  </si>
  <si>
    <t>A</t>
  </si>
  <si>
    <t>B</t>
  </si>
  <si>
    <t>C</t>
  </si>
  <si>
    <t>D</t>
  </si>
  <si>
    <t xml:space="preserve">  </t>
  </si>
  <si>
    <t>Fallow</t>
  </si>
  <si>
    <t xml:space="preserve">              Bare soil</t>
  </si>
  <si>
    <t>----</t>
  </si>
  <si>
    <t>-----------</t>
  </si>
  <si>
    <t>77</t>
  </si>
  <si>
    <t>86</t>
  </si>
  <si>
    <t>91</t>
  </si>
  <si>
    <t>94</t>
  </si>
  <si>
    <t xml:space="preserve">              Crop residue (CR)</t>
  </si>
  <si>
    <t>poor</t>
  </si>
  <si>
    <t>76</t>
  </si>
  <si>
    <t>85</t>
  </si>
  <si>
    <t>90</t>
  </si>
  <si>
    <t>93</t>
  </si>
  <si>
    <t>good</t>
  </si>
  <si>
    <t>74</t>
  </si>
  <si>
    <t>83</t>
  </si>
  <si>
    <t>88</t>
  </si>
  <si>
    <t>Row Crops</t>
  </si>
  <si>
    <t xml:space="preserve">              Straight row (SR)</t>
  </si>
  <si>
    <t>72</t>
  </si>
  <si>
    <t>81</t>
  </si>
  <si>
    <t>67</t>
  </si>
  <si>
    <t>78</t>
  </si>
  <si>
    <t>89</t>
  </si>
  <si>
    <t xml:space="preserve">              SR + Crop residue</t>
  </si>
  <si>
    <t>71</t>
  </si>
  <si>
    <t>80</t>
  </si>
  <si>
    <t>87</t>
  </si>
  <si>
    <t>64</t>
  </si>
  <si>
    <t>75</t>
  </si>
  <si>
    <t>82</t>
  </si>
  <si>
    <t xml:space="preserve">              Contoured (C)</t>
  </si>
  <si>
    <t>70</t>
  </si>
  <si>
    <t>79</t>
  </si>
  <si>
    <t>84</t>
  </si>
  <si>
    <t>65</t>
  </si>
  <si>
    <t xml:space="preserve">              C + Crop residue</t>
  </si>
  <si>
    <t>69</t>
  </si>
  <si>
    <t xml:space="preserve">              Cont &amp; terraced(C&amp;T)</t>
  </si>
  <si>
    <t>66</t>
  </si>
  <si>
    <t>62</t>
  </si>
  <si>
    <t xml:space="preserve">              C&amp;T + Crop residue</t>
  </si>
  <si>
    <t>73</t>
  </si>
  <si>
    <t>61</t>
  </si>
  <si>
    <t>Small Grain</t>
  </si>
  <si>
    <t>63</t>
  </si>
  <si>
    <t>60</t>
  </si>
  <si>
    <t xml:space="preserve">              Cont &amp; terraces(C&amp;T)</t>
  </si>
  <si>
    <t>59</t>
  </si>
  <si>
    <t>58</t>
  </si>
  <si>
    <t>Close-seeded</t>
  </si>
  <si>
    <t xml:space="preserve">              Straight row</t>
  </si>
  <si>
    <t>or broadcast</t>
  </si>
  <si>
    <t>legumes or</t>
  </si>
  <si>
    <t xml:space="preserve">              Contoured</t>
  </si>
  <si>
    <t>rotation</t>
  </si>
  <si>
    <t>55</t>
  </si>
  <si>
    <t>meadow</t>
  </si>
  <si>
    <t xml:space="preserve">              Cont &amp; terraced</t>
  </si>
  <si>
    <t>51</t>
  </si>
  <si>
    <t xml:space="preserve">Pasture, grassland or range </t>
  </si>
  <si>
    <t>68</t>
  </si>
  <si>
    <t xml:space="preserve">                            </t>
  </si>
  <si>
    <t>fair</t>
  </si>
  <si>
    <t>49</t>
  </si>
  <si>
    <t>39</t>
  </si>
  <si>
    <t xml:space="preserve">Meadow -cont. grass (non grazed) </t>
  </si>
  <si>
    <t>30</t>
  </si>
  <si>
    <t xml:space="preserve">Brush - brush, weed, grass mix </t>
  </si>
  <si>
    <t>48</t>
  </si>
  <si>
    <t xml:space="preserve">                               </t>
  </si>
  <si>
    <t>35</t>
  </si>
  <si>
    <t>56</t>
  </si>
  <si>
    <t xml:space="preserve">Woods - grass combination </t>
  </si>
  <si>
    <t>57</t>
  </si>
  <si>
    <t xml:space="preserve">                          </t>
  </si>
  <si>
    <t>43</t>
  </si>
  <si>
    <t>32</t>
  </si>
  <si>
    <t xml:space="preserve">Woods </t>
  </si>
  <si>
    <t>45</t>
  </si>
  <si>
    <t xml:space="preserve">      </t>
  </si>
  <si>
    <t>36</t>
  </si>
  <si>
    <t xml:space="preserve">Farmsteads </t>
  </si>
  <si>
    <t>FULLY DEVELOPED URBAN AREAS (Veg Established)</t>
  </si>
  <si>
    <t xml:space="preserve">Open space (Lawns,parks etc.)   </t>
  </si>
  <si>
    <t xml:space="preserve">   Poor condition; grass cover &lt; 50%</t>
  </si>
  <si>
    <t xml:space="preserve">   Fair condition; grass cover 50% to 75 %</t>
  </si>
  <si>
    <t xml:space="preserve">   Good condition; grass cover &gt; 75%</t>
  </si>
  <si>
    <t xml:space="preserve">Impervious Areas      </t>
  </si>
  <si>
    <t xml:space="preserve">  Paved parking lots, roofs, driveways</t>
  </si>
  <si>
    <t>98</t>
  </si>
  <si>
    <t xml:space="preserve">  Streets and roads      </t>
  </si>
  <si>
    <t xml:space="preserve">      Paved; curbs and storm sewers</t>
  </si>
  <si>
    <t/>
  </si>
  <si>
    <t xml:space="preserve">     Paved; open ditches (w/right-of-way)</t>
  </si>
  <si>
    <t>92</t>
  </si>
  <si>
    <t xml:space="preserve">     Gravel (w/ right-of-way)</t>
  </si>
  <si>
    <t xml:space="preserve">     Dirt   (w/ right-of-way)</t>
  </si>
  <si>
    <t>Urban Districts</t>
  </si>
  <si>
    <t>Avg % impervious</t>
  </si>
  <si>
    <t xml:space="preserve">     Commercial &amp; business</t>
  </si>
  <si>
    <t>95</t>
  </si>
  <si>
    <t xml:space="preserve">     Industrial</t>
  </si>
  <si>
    <t xml:space="preserve">72 </t>
  </si>
  <si>
    <t>Residential districts by average lot size</t>
  </si>
  <si>
    <t xml:space="preserve">   1/8 acre (town houses)</t>
  </si>
  <si>
    <t xml:space="preserve">   1/4 acre</t>
  </si>
  <si>
    <t>38</t>
  </si>
  <si>
    <t xml:space="preserve">   1/3 acre</t>
  </si>
  <si>
    <t xml:space="preserve">   1/2 acre</t>
  </si>
  <si>
    <t>25</t>
  </si>
  <si>
    <t>54</t>
  </si>
  <si>
    <t xml:space="preserve">     1 acre</t>
  </si>
  <si>
    <t>20</t>
  </si>
  <si>
    <t xml:space="preserve">     2 acre</t>
  </si>
  <si>
    <t>12</t>
  </si>
  <si>
    <t>46</t>
  </si>
  <si>
    <t>DEVELOPING URBAN AREA (No Vegetation)</t>
  </si>
  <si>
    <t xml:space="preserve">Newly graded area (pervious only) </t>
  </si>
  <si>
    <t>Weighted Runoff Curve Number (RCN)</t>
  </si>
  <si>
    <r>
      <rPr>
        <b/>
        <sz val="10"/>
        <rFont val="Arial"/>
        <family val="2"/>
      </rPr>
      <t xml:space="preserve">CULTIVATED AGRICULTURAL LANDS </t>
    </r>
    <r>
      <rPr>
        <sz val="10"/>
        <rFont val="Arial"/>
        <family val="2"/>
      </rPr>
      <t xml:space="preserve">  </t>
    </r>
  </si>
  <si>
    <t>Hydrologic Condition</t>
  </si>
  <si>
    <t>Acres</t>
  </si>
  <si>
    <t>RCN</t>
  </si>
  <si>
    <r>
      <rPr>
        <b/>
        <sz val="10"/>
        <rFont val="Arial"/>
        <family val="2"/>
      </rPr>
      <t xml:space="preserve">OTHER AGRICULTURAL LANDS  </t>
    </r>
    <r>
      <rPr>
        <sz val="10"/>
        <rFont val="Arial"/>
        <family val="2"/>
      </rPr>
      <t xml:space="preserve">     </t>
    </r>
  </si>
  <si>
    <t>HSG A</t>
  </si>
  <si>
    <t>HSG B</t>
  </si>
  <si>
    <t>HSG C</t>
  </si>
  <si>
    <t>HSG D</t>
  </si>
  <si>
    <t>1.1  Total contributing area to BMP (ac)</t>
  </si>
  <si>
    <t>Step 1 - Calculate Initial Cv</t>
  </si>
  <si>
    <t>Step 4 - Calculate Cv with BMP Reductions</t>
  </si>
  <si>
    <t>4.1  Cv runoff volume after all reductions (in.)</t>
  </si>
  <si>
    <t>4.2  Total Cv runoff reduction (%)</t>
  </si>
  <si>
    <t>1.1 Total contributing area to BMP (ac)</t>
  </si>
  <si>
    <t>4.3  Adjusted RCN for H&amp;H modeling</t>
  </si>
  <si>
    <t>Resource Protection Event (RPV)</t>
  </si>
  <si>
    <t>Conveyance Event (Cv)</t>
  </si>
  <si>
    <t>Flooding Event (Fv)</t>
  </si>
  <si>
    <t>Site Data</t>
  </si>
  <si>
    <t>C.A. RCN</t>
  </si>
  <si>
    <t>3.1  Runoff reduction allowance (%)</t>
  </si>
  <si>
    <t>3.2  Annual runoff after reduction (in.)</t>
  </si>
  <si>
    <t>3.3  Adjusted ACN</t>
  </si>
  <si>
    <t>10-YR</t>
  </si>
  <si>
    <t>100-YR</t>
  </si>
  <si>
    <t>Shallow Concentrated Surface Codes</t>
  </si>
  <si>
    <t>Sheet Flow Surface Codes</t>
  </si>
  <si>
    <t>(ft./sec.)</t>
  </si>
  <si>
    <t>(feet)</t>
  </si>
  <si>
    <t>CODE</t>
  </si>
  <si>
    <t>(ft./ft.)</t>
  </si>
  <si>
    <t>TRAVEL</t>
  </si>
  <si>
    <t>VELOCITY</t>
  </si>
  <si>
    <t>SURFACE</t>
  </si>
  <si>
    <t>SLOPE</t>
  </si>
  <si>
    <t>LENGTH</t>
  </si>
  <si>
    <t>FLOW TYPE</t>
  </si>
  <si>
    <t>Ia</t>
  </si>
  <si>
    <t>C1</t>
  </si>
  <si>
    <t>C2</t>
  </si>
  <si>
    <t>(in)</t>
  </si>
  <si>
    <r>
      <rPr>
        <sz val="11"/>
        <color indexed="10"/>
        <rFont val="Calibri"/>
        <family val="2"/>
      </rPr>
      <t>STD</t>
    </r>
    <r>
      <rPr>
        <sz val="11"/>
        <color theme="1"/>
        <rFont val="Calibri"/>
        <family val="2"/>
        <scheme val="minor"/>
      </rPr>
      <t xml:space="preserve"> Unit Peak Discharge Coefficient Table - Type II Storm</t>
    </r>
  </si>
  <si>
    <r>
      <rPr>
        <sz val="11"/>
        <color indexed="10"/>
        <rFont val="Calibri"/>
        <family val="2"/>
      </rPr>
      <t>DMV</t>
    </r>
    <r>
      <rPr>
        <sz val="11"/>
        <color theme="1"/>
        <rFont val="Calibri"/>
        <family val="2"/>
        <scheme val="minor"/>
      </rPr>
      <t xml:space="preserve"> Unit Peak Discharge Coefficient Table - Type II Storm</t>
    </r>
  </si>
  <si>
    <t>N/A</t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</si>
  <si>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  <scheme val="minor"/>
      </rPr>
      <t xml:space="preserve"> fallow (no residue)</t>
    </r>
  </si>
  <si>
    <r>
      <rPr>
        <sz val="11"/>
        <color indexed="10"/>
        <rFont val="Calibri"/>
        <family val="2"/>
      </rPr>
      <t>c</t>
    </r>
    <r>
      <rPr>
        <sz val="11"/>
        <color theme="1"/>
        <rFont val="Calibri"/>
        <family val="2"/>
        <scheme val="minor"/>
      </rPr>
      <t xml:space="preserve"> cultivated &lt; 20% Res.</t>
    </r>
  </si>
  <si>
    <r>
      <rPr>
        <sz val="11"/>
        <color indexed="10"/>
        <rFont val="Calibri"/>
        <family val="2"/>
      </rPr>
      <t>d</t>
    </r>
    <r>
      <rPr>
        <sz val="11"/>
        <color theme="1"/>
        <rFont val="Calibri"/>
        <family val="2"/>
        <scheme val="minor"/>
      </rPr>
      <t xml:space="preserve"> cultivated &gt; 20% Res.</t>
    </r>
  </si>
  <si>
    <r>
      <rPr>
        <sz val="11"/>
        <color indexed="10"/>
        <rFont val="Calibri"/>
        <family val="2"/>
      </rPr>
      <t>e</t>
    </r>
    <r>
      <rPr>
        <sz val="11"/>
        <color theme="1"/>
        <rFont val="Calibri"/>
        <family val="2"/>
        <scheme val="minor"/>
      </rPr>
      <t xml:space="preserve"> grass - range, short</t>
    </r>
  </si>
  <si>
    <r>
      <rPr>
        <sz val="11"/>
        <color indexed="10"/>
        <rFont val="Calibri"/>
        <family val="2"/>
      </rPr>
      <t>u</t>
    </r>
    <r>
      <rPr>
        <sz val="11"/>
        <color theme="1"/>
        <rFont val="Calibri"/>
        <family val="2"/>
        <scheme val="minor"/>
      </rPr>
      <t xml:space="preserve"> unpaved surface</t>
    </r>
  </si>
  <si>
    <r>
      <rPr>
        <sz val="11"/>
        <color indexed="10"/>
        <rFont val="Calibri"/>
        <family val="2"/>
      </rPr>
      <t>p</t>
    </r>
    <r>
      <rPr>
        <sz val="11"/>
        <color theme="1"/>
        <rFont val="Calibri"/>
        <family val="2"/>
        <scheme val="minor"/>
      </rPr>
      <t xml:space="preserve"> paved surface</t>
    </r>
  </si>
  <si>
    <t>log(qu)</t>
  </si>
  <si>
    <t>C0</t>
  </si>
  <si>
    <t>TIME (hrs)</t>
  </si>
  <si>
    <t>Sheet</t>
  </si>
  <si>
    <t>Shallow Concentrated</t>
  </si>
  <si>
    <t>Open Channel</t>
  </si>
  <si>
    <t>UH</t>
  </si>
  <si>
    <t>STD</t>
  </si>
  <si>
    <t>DMV</t>
  </si>
  <si>
    <t>LOCATION (County):</t>
  </si>
  <si>
    <t>County</t>
  </si>
  <si>
    <t>Kent</t>
  </si>
  <si>
    <t>New Castle</t>
  </si>
  <si>
    <t>Sussex</t>
  </si>
  <si>
    <t>Rainfall</t>
  </si>
  <si>
    <t>UNIT HYDROGRAPH:</t>
  </si>
  <si>
    <t>Unit Hydrograph</t>
  </si>
  <si>
    <t>Class</t>
  </si>
  <si>
    <t>End</t>
  </si>
  <si>
    <t>TMDL Watershed:</t>
  </si>
  <si>
    <t>TMDL Reduction Requirements</t>
  </si>
  <si>
    <t>Drainage Basin</t>
  </si>
  <si>
    <t>Piedmont</t>
  </si>
  <si>
    <t>Naamans Creek</t>
  </si>
  <si>
    <t>WS Code</t>
  </si>
  <si>
    <t>TMDL Watershed</t>
  </si>
  <si>
    <t>Brandywine Creek</t>
  </si>
  <si>
    <t>Red Clay Creek</t>
  </si>
  <si>
    <t>Christina River</t>
  </si>
  <si>
    <t>Delaware Bay</t>
  </si>
  <si>
    <t>Army Creek</t>
  </si>
  <si>
    <t>Red Lion Creek</t>
  </si>
  <si>
    <t>Dragon Run Creek</t>
  </si>
  <si>
    <t>Smyrna River</t>
  </si>
  <si>
    <t>Leipsic River</t>
  </si>
  <si>
    <t>Little Creek</t>
  </si>
  <si>
    <t>St. Jones River</t>
  </si>
  <si>
    <t>Cedar Creek</t>
  </si>
  <si>
    <t>Broadkill River</t>
  </si>
  <si>
    <t>Chesapeake Bay</t>
  </si>
  <si>
    <t>Marshyhope Creek</t>
  </si>
  <si>
    <t>Nanticoke River</t>
  </si>
  <si>
    <t>Gum Branch</t>
  </si>
  <si>
    <t>Gravelly Branch</t>
  </si>
  <si>
    <t>Deep Creek</t>
  </si>
  <si>
    <t>Inland Bays/Atlantic Ocean</t>
  </si>
  <si>
    <t>Lewes-Rehoboth Canal</t>
  </si>
  <si>
    <t>Rehoboth Bay</t>
  </si>
  <si>
    <t>Iron Branch</t>
  </si>
  <si>
    <t>Indian River Bay</t>
  </si>
  <si>
    <t>Little Assawoman Bay</t>
  </si>
  <si>
    <t>Buntings Branch</t>
  </si>
  <si>
    <t>Delaware River</t>
  </si>
  <si>
    <t>Elk Creek</t>
  </si>
  <si>
    <t>Perch Creek</t>
  </si>
  <si>
    <t>C&amp;D Canal West</t>
  </si>
  <si>
    <t>Bohemia Creek</t>
  </si>
  <si>
    <t>Wicomico River</t>
  </si>
  <si>
    <t>Pocomoke River</t>
  </si>
  <si>
    <t>Assawoman Bay</t>
  </si>
  <si>
    <t>Shellpot Creek, below Rt. 13</t>
  </si>
  <si>
    <t>Shellpot Creek, above Rt. 13</t>
  </si>
  <si>
    <t>Mispillion River, King's Causeway Br.</t>
  </si>
  <si>
    <t>Mispillion River, Remaining WS</t>
  </si>
  <si>
    <t>Indian River, Upper</t>
  </si>
  <si>
    <t>Indian River, Lower</t>
  </si>
  <si>
    <t>2.2  Storage volume (ac-ft)</t>
  </si>
  <si>
    <t>2.5  CN*</t>
  </si>
  <si>
    <t>2.3  Storage volume (in.)</t>
  </si>
  <si>
    <t>2.4  Runoff volume after reduction (in.)</t>
  </si>
  <si>
    <t>RPv runoff volume after all reductions (in.)</t>
  </si>
  <si>
    <t>Total RPv runoff reduction (%)</t>
  </si>
  <si>
    <t>Cv runoff volume after all reductions (in.)</t>
  </si>
  <si>
    <t>Fv runoff volume after all reductions (in.)</t>
  </si>
  <si>
    <t>TSS</t>
  </si>
  <si>
    <t>TN</t>
  </si>
  <si>
    <t>TP</t>
  </si>
  <si>
    <t>TN TMDL</t>
  </si>
  <si>
    <t>TP TMDL</t>
  </si>
  <si>
    <t>TSS TMDL</t>
  </si>
  <si>
    <t>*=  % TMDL shortfall x Residual RPv</t>
  </si>
  <si>
    <t>2.2  Retention reduction allowance (%)</t>
  </si>
  <si>
    <t>2.3  Retention reduction volume (ac-ft)</t>
  </si>
  <si>
    <t>3.4  Annual runoff reduction allowance (%)</t>
  </si>
  <si>
    <t>TN Reduction</t>
  </si>
  <si>
    <t>TP Reduction</t>
  </si>
  <si>
    <t>TSS Reduction</t>
  </si>
  <si>
    <t>4.2 Reduction met?</t>
  </si>
  <si>
    <t>5.1 TMDL Shortfall (lb/ac/yr)</t>
  </si>
  <si>
    <t>5.2 TMDL Shortfall (%)</t>
  </si>
  <si>
    <t>5.3 Residual RPv Volume (in)</t>
  </si>
  <si>
    <t>5.4 Req'd Additional RR to meet TMDL (in)*</t>
  </si>
  <si>
    <t>5.5 Req'd Additional RR to meet TMDL (cu.ft./ac)</t>
  </si>
  <si>
    <t>5.6 Total Offset Volume (cu.ft.)</t>
  </si>
  <si>
    <t>3.5  Annual runoff after reduction (in.)</t>
  </si>
  <si>
    <t>3.6  Adjusted ACN</t>
  </si>
  <si>
    <t>LIMIT OF DISTURBANCE (LOD) WORKSHEET</t>
  </si>
  <si>
    <t>OUTSIDE LIMIT OF DISTURBANCE (OLOD) WORKSHEET</t>
  </si>
  <si>
    <t>RESOURCE PROTECTION EVENT (RPv) WORKSHEET</t>
  </si>
  <si>
    <t>TOTAL MAXIMUM DAILY LOAD (TMDL) WORKSHEET</t>
  </si>
  <si>
    <t>FLOODING EVENT (Fv) WORKSHEET</t>
  </si>
  <si>
    <t>CONVEYANCE EVENT (Cv) WORKSHEET</t>
  </si>
  <si>
    <t>DURMM OUTPUT WORKSHEET</t>
  </si>
  <si>
    <t>1.2  Initial RCN</t>
  </si>
  <si>
    <t>3.3  Proportion A/B soils in BMP footprint (%)</t>
  </si>
  <si>
    <t>1.2 Initial RCN</t>
  </si>
  <si>
    <t>2.1  EMC (mg/L)</t>
  </si>
  <si>
    <t>"n"</t>
  </si>
  <si>
    <t>2.4  Retention reduction volume (in.)</t>
  </si>
  <si>
    <t>2.5  Runoff volume after retention reduction (in.)</t>
  </si>
  <si>
    <t>1.4  Cv runoff volume (in.)</t>
  </si>
  <si>
    <t>1.4  Fv runoff volume (in.)</t>
  </si>
  <si>
    <t>RPv for Contributing Area (in.)</t>
  </si>
  <si>
    <t>Cv runoff volume (in.)</t>
  </si>
  <si>
    <t>Fv runoff volume (in.)</t>
  </si>
  <si>
    <t>Manning's</t>
  </si>
  <si>
    <t>Step 1 - Calculate Initial Fv</t>
  </si>
  <si>
    <t>Step 4 - Calculate Fv with BMP Reductions</t>
  </si>
  <si>
    <t>4.1  Fv runoff volume after all reductions (in.)</t>
  </si>
  <si>
    <t>4.2  Total Fv runoff reduction (%)</t>
  </si>
  <si>
    <t>DURMM BMP Name</t>
  </si>
  <si>
    <t>Total RPv runoff reduction (in.)</t>
  </si>
  <si>
    <r>
      <t xml:space="preserve">Step 1 - Calculate </t>
    </r>
    <r>
      <rPr>
        <b/>
        <i/>
        <sz val="11"/>
        <rFont val="Calibri"/>
        <family val="2"/>
      </rPr>
      <t>Annual Runoff Volume</t>
    </r>
  </si>
  <si>
    <t>1.3 Annual runoff volume  (in.)</t>
  </si>
  <si>
    <r>
      <t xml:space="preserve">1.4 </t>
    </r>
    <r>
      <rPr>
        <sz val="11"/>
        <rFont val="Calibri"/>
        <family val="2"/>
      </rPr>
      <t>Annual</t>
    </r>
    <r>
      <rPr>
        <sz val="11"/>
        <rFont val="Calibri"/>
        <family val="2"/>
      </rPr>
      <t xml:space="preserve"> runoff volume (liters)</t>
    </r>
  </si>
  <si>
    <r>
      <t xml:space="preserve">Step 2 - Calculate </t>
    </r>
    <r>
      <rPr>
        <b/>
        <i/>
        <sz val="11"/>
        <rFont val="Calibri"/>
        <family val="2"/>
      </rPr>
      <t>Annual Pollutant Load</t>
    </r>
  </si>
  <si>
    <r>
      <t>2.2 Load (mg/</t>
    </r>
    <r>
      <rPr>
        <sz val="11"/>
        <rFont val="Calibri"/>
        <family val="2"/>
      </rPr>
      <t>yr</t>
    </r>
    <r>
      <rPr>
        <sz val="11"/>
        <rFont val="Calibri"/>
        <family val="2"/>
      </rPr>
      <t>)</t>
    </r>
  </si>
  <si>
    <r>
      <t xml:space="preserve">4.1 </t>
    </r>
    <r>
      <rPr>
        <sz val="11"/>
        <rFont val="Calibri"/>
        <family val="2"/>
      </rPr>
      <t>TMDL (lb/ac/yr)</t>
    </r>
  </si>
  <si>
    <t>Type</t>
  </si>
  <si>
    <t>C&amp;D Canal East</t>
  </si>
  <si>
    <t>Appoquinimink River</t>
  </si>
  <si>
    <t>Blackbird Creek</t>
  </si>
  <si>
    <t>Murderkill River</t>
  </si>
  <si>
    <t>Sassafras River</t>
  </si>
  <si>
    <t>Chester River</t>
  </si>
  <si>
    <t>Choptank River</t>
  </si>
  <si>
    <t>Broad Creek</t>
  </si>
  <si>
    <t>Adjusted pollutant load, TN (lb/ac/yr)</t>
  </si>
  <si>
    <t>Adjusted pollutant load, TP (lb/ac/yr)</t>
  </si>
  <si>
    <t>Adjusted pollutant load, TSS (lb/ac/yr)</t>
  </si>
  <si>
    <t>3.7  Annual Runoff Reduction Allowance for RPv (in.)</t>
  </si>
  <si>
    <t>1.1 HSG Area Within LOD (ac)</t>
  </si>
  <si>
    <t>1.2 Pre-Developed Woods/Meadow Within LOD (ac)</t>
  </si>
  <si>
    <t>1.3 Pre-Developed Impervious Within LOD (ac)</t>
  </si>
  <si>
    <r>
      <t xml:space="preserve">1.4.a Post-Developed Imperviousness Within LOD, Option #1 (ac); </t>
    </r>
    <r>
      <rPr>
        <b/>
        <i/>
        <u/>
        <sz val="11"/>
        <rFont val="Calibri"/>
        <family val="2"/>
      </rPr>
      <t>OR</t>
    </r>
  </si>
  <si>
    <t>1.4.b Post-Developed Imperviousness Within LOD, Option #2 (%)</t>
  </si>
  <si>
    <t>Step 1 - Site Data</t>
  </si>
  <si>
    <t>1.1 Total Contributing Area (ac)</t>
  </si>
  <si>
    <t>1.2 C.A. RCN</t>
  </si>
  <si>
    <t>1.3 LOD Area (ac)</t>
  </si>
  <si>
    <t>1.4 LOD RCN</t>
  </si>
  <si>
    <t>1.5 Outside LOD Area (ac)</t>
  </si>
  <si>
    <t>1.6 Outside LOD RCN</t>
  </si>
  <si>
    <t>Step 2 - Time of Concentration</t>
  </si>
  <si>
    <t>2.7 Time of Concentration (Tc)</t>
  </si>
  <si>
    <t>Step 3 - Peak Discharge</t>
  </si>
  <si>
    <t>3.1 Unit Hydrograph Type</t>
  </si>
  <si>
    <t>3.2 Frequency (yr)</t>
  </si>
  <si>
    <t>3.3 24-HR Rainfall, P (in.)</t>
  </si>
  <si>
    <t>3.4 Initial Abstraction, Ia (in.)</t>
  </si>
  <si>
    <t>3.5 Ia/P ratio</t>
  </si>
  <si>
    <t>3.6 Unit Peak Discharge, qu (csm/in)</t>
  </si>
  <si>
    <t>3.7 Runoff (in.)</t>
  </si>
  <si>
    <t>3.8 Peak Discharge, qp (cfs)</t>
  </si>
  <si>
    <t>3.9 Equiv. unit peak discharge (cfs/ac)</t>
  </si>
  <si>
    <t>Area 1</t>
  </si>
  <si>
    <t>Area 2</t>
  </si>
  <si>
    <t>Area 3</t>
  </si>
  <si>
    <t>Area 4</t>
  </si>
  <si>
    <t>Adjusted RPv (in.)</t>
  </si>
  <si>
    <t>Step 1 - Subarea LOD Data</t>
  </si>
  <si>
    <t>4.1 Combined LOD (ac)</t>
  </si>
  <si>
    <t>Adjusted CN after all reductions</t>
  </si>
  <si>
    <t>2.1 RCN per HSG</t>
  </si>
  <si>
    <t>2.2 RPv per HSG (in.)</t>
  </si>
  <si>
    <t>3.4 Adjusted CN after all reductions</t>
  </si>
  <si>
    <t>3.5 Adjusted RPv (in.)</t>
  </si>
  <si>
    <t>3.6 Adjusted Cv (in.)</t>
  </si>
  <si>
    <t>3.7 Adjusted Fv (in.)</t>
  </si>
  <si>
    <t>4.2 Weighted RCN</t>
  </si>
  <si>
    <t>4.3 Weighted RPv (in.)</t>
  </si>
  <si>
    <t>Subarea LOD (ac.)</t>
  </si>
  <si>
    <t>Contributing Area to BMPs (ac.)</t>
  </si>
  <si>
    <t>Upstream Subarea ID</t>
  </si>
  <si>
    <t>Upstream Subarea LOD (ac.)</t>
  </si>
  <si>
    <t>Subarea RCN</t>
  </si>
  <si>
    <t>Combined LOD with Upstream Areas (ac.)</t>
  </si>
  <si>
    <t>Combined RCN with Upstream Areas (ac.)</t>
  </si>
  <si>
    <t>Adjusted Subarea Data for Downstream DURMM Modeling</t>
  </si>
  <si>
    <t>LOD Area (ac.)</t>
  </si>
  <si>
    <t>Adjusted Cv (in.)</t>
  </si>
  <si>
    <t>Adjusted Fv (in.)</t>
  </si>
  <si>
    <t>--</t>
  </si>
  <si>
    <r>
      <t xml:space="preserve">Step 2 - Subarea </t>
    </r>
    <r>
      <rPr>
        <b/>
        <sz val="12"/>
        <rFont val="Calibri"/>
        <family val="2"/>
      </rPr>
      <t xml:space="preserve">LOD </t>
    </r>
    <r>
      <rPr>
        <b/>
        <sz val="12"/>
        <color indexed="8"/>
        <rFont val="Calibri"/>
        <family val="2"/>
      </rPr>
      <t>Runoff Calculations</t>
    </r>
  </si>
  <si>
    <t>Weighted Target Runoff (in.)</t>
  </si>
  <si>
    <t>3.3 Target Runoff for Upstream Area (in.)</t>
  </si>
  <si>
    <t>Step 4 - RPv Calculations for Combined LOD</t>
  </si>
  <si>
    <t>4.4 Weighted Target Runoff (in.)</t>
  </si>
  <si>
    <t>4.5 Estimated Annual Runoff (in.)</t>
  </si>
  <si>
    <t>2.6  Adjusted CN*</t>
  </si>
  <si>
    <t>USER DEFINED</t>
  </si>
  <si>
    <t>Upstream Contributing Area 1</t>
  </si>
  <si>
    <t>Upstream Contributing Area 2</t>
  </si>
  <si>
    <t>Upstream Contributing Area 3</t>
  </si>
  <si>
    <t>Upstream Contributing Area 4</t>
  </si>
  <si>
    <t>UPSTREAM CONTRIBUTING AREAS</t>
  </si>
  <si>
    <t>Subarea Contributing Area per Soil Type (ac)</t>
  </si>
  <si>
    <t>Subarea ID</t>
  </si>
  <si>
    <t>Contributing Area (ac.)</t>
  </si>
  <si>
    <t>**</t>
  </si>
  <si>
    <t>Adjusted Subarea Data for Nutrient Protocol Modeling</t>
  </si>
  <si>
    <t>COUNTY:</t>
  </si>
  <si>
    <t>Watershed TMDL-TN (lb/ac/yr)</t>
  </si>
  <si>
    <t>Watershed TMDL-TP (lb/ac/yr)</t>
  </si>
  <si>
    <t>Watershed TMDL-TSS (lb/ac/yr)</t>
  </si>
  <si>
    <t>BMP Data</t>
  </si>
  <si>
    <t>3.4  Event-based runoff reduction (in.)</t>
  </si>
  <si>
    <t>Percent Impervious Cover</t>
  </si>
  <si>
    <t>3.1 Upstream Sub-Area ID</t>
  </si>
  <si>
    <t>DURMM Variant</t>
  </si>
  <si>
    <t>BMP Category</t>
  </si>
  <si>
    <t>Retention Practice</t>
  </si>
  <si>
    <t>1.0 Infiltration</t>
  </si>
  <si>
    <t>1-A Infiltration Trench</t>
  </si>
  <si>
    <t>1-B Infiltration Basin</t>
  </si>
  <si>
    <t>1-C Underground Infiltration</t>
  </si>
  <si>
    <t>2.0 Bioretention</t>
  </si>
  <si>
    <t>Annual Runoff Reduction Practice</t>
  </si>
  <si>
    <t>4.0 Vegetated Roofs</t>
  </si>
  <si>
    <t>4-A Extensive Vegetated Roofs</t>
  </si>
  <si>
    <t>4-B Intensive Vegetated Roofs</t>
  </si>
  <si>
    <t>2-A Traditional Bioretention - Underdrain</t>
  </si>
  <si>
    <t>2-A Traditional Bioretention - Infiltration</t>
  </si>
  <si>
    <t>2-B In-Situ Bioretention - Underdrain</t>
  </si>
  <si>
    <t>2-B In-Situ Bioretention - Infiltration</t>
  </si>
  <si>
    <t>2-C Streetscape Bioretention - Underdrain</t>
  </si>
  <si>
    <t>2-C Streetscape Bioretention - Infiltration</t>
  </si>
  <si>
    <t>2-D Engineered Tree Pits - Underdrain</t>
  </si>
  <si>
    <t>2-D Engineered Tree Pits - Infiltration</t>
  </si>
  <si>
    <t>2-E Stormwater Planters - Underdrain</t>
  </si>
  <si>
    <t>2-E Stormwater Planters - Infiltration</t>
  </si>
  <si>
    <t>2-F Advanced Bioretention - Underdrain</t>
  </si>
  <si>
    <t>3.0 Permeable Pavement</t>
  </si>
  <si>
    <t>3-B Pervious Concrete (PC)</t>
  </si>
  <si>
    <t>3-C Permeable Concrete Pavers (PP) &amp; (CP)</t>
  </si>
  <si>
    <t>3-D Plastic &amp; Composite Grid Pavers (GP)</t>
  </si>
  <si>
    <t>Stormwater Treatment Practice</t>
  </si>
  <si>
    <t>15.0 Proprietary Practices</t>
  </si>
  <si>
    <t>Removal Efficiency</t>
  </si>
  <si>
    <t>Runoff Reduction</t>
  </si>
  <si>
    <t>5.0 Rainwater Harvesting</t>
  </si>
  <si>
    <t>5-B Continuous Rainwater Harvesting</t>
  </si>
  <si>
    <t>5-A Seasonal Rainwater Harvesting</t>
  </si>
  <si>
    <t>6-A Step Pool RSCS</t>
  </si>
  <si>
    <t>6-B Seepage Wetland RSCS</t>
  </si>
  <si>
    <t>7.0 Rooftop Disconnection</t>
  </si>
  <si>
    <t>8.0 Vegetated Channels</t>
  </si>
  <si>
    <t>8-A Bioswale</t>
  </si>
  <si>
    <t>8-B Grassed Channel</t>
  </si>
  <si>
    <t>9.0 Sheet Flow</t>
  </si>
  <si>
    <t>10.0 Detention Practices</t>
  </si>
  <si>
    <t>10-A Dry Detention Pond</t>
  </si>
  <si>
    <t>10-C Underground Detention Facilities</t>
  </si>
  <si>
    <t>11.0 Stormwater Filtering Systems</t>
  </si>
  <si>
    <t>11-A Non-Structural Sand Filter</t>
  </si>
  <si>
    <t>11-B Surface Sand Filter</t>
  </si>
  <si>
    <t>11-C 3-Chamber Underground Sand Filter</t>
  </si>
  <si>
    <t>11-D Perimeter Sand Filter (DE Sand Filter)</t>
  </si>
  <si>
    <t>12.0 Wetlands</t>
  </si>
  <si>
    <t>12-A Traditional Constructed Wetlands</t>
  </si>
  <si>
    <t>12-D Submerged Gravel Wetlands</t>
  </si>
  <si>
    <t>13.0 Wet Pond</t>
  </si>
  <si>
    <t>13-B Wet Extended Detention (ED) Pond</t>
  </si>
  <si>
    <t>14.0 Soil Amendments</t>
  </si>
  <si>
    <t>14-A Compost Amended Soil - HSG A</t>
  </si>
  <si>
    <t>14-B Compost Amended Soil - HSG B</t>
  </si>
  <si>
    <t>14-D Compost Amended Soil - HSG D</t>
  </si>
  <si>
    <t>14-C Compost Amended Soil - HSG C</t>
  </si>
  <si>
    <t>Step 4 - Calculate RPv with BMP Reductions</t>
  </si>
  <si>
    <t>Step 3 - Adjust for Pollutant Reduction</t>
  </si>
  <si>
    <t>3.3 Adjusted annual runoff volume (liters)</t>
  </si>
  <si>
    <t>3.2 Adjusted annual runoff volume (in)</t>
  </si>
  <si>
    <t>3.1 BMP annual runoff reduction (%)</t>
  </si>
  <si>
    <t>16.0 Source Controls</t>
  </si>
  <si>
    <t>16-B Street Sweeping</t>
  </si>
  <si>
    <t>16-A Nutrient Management</t>
  </si>
  <si>
    <t>3-A Porous Asphalt (PA)</t>
  </si>
  <si>
    <t>6.0 Restoration Practices</t>
  </si>
  <si>
    <t>6-C Streambank Stabilization</t>
  </si>
  <si>
    <t>Annual Runoff for Contributing Area (in.)</t>
  </si>
  <si>
    <t>12-B Wetland Swales</t>
  </si>
  <si>
    <t>12-C Ephemeral Constructed Wetlands</t>
  </si>
  <si>
    <r>
      <t>Step 3 - Upstream LOD Areas</t>
    </r>
    <r>
      <rPr>
        <b/>
        <sz val="9"/>
        <rFont val="Calibri"/>
        <family val="2"/>
      </rPr>
      <t xml:space="preserve"> </t>
    </r>
    <r>
      <rPr>
        <b/>
        <i/>
        <sz val="9"/>
        <rFont val="Calibri"/>
        <family val="2"/>
      </rPr>
      <t>(from previous DURMM Report as applicable)</t>
    </r>
  </si>
  <si>
    <r>
      <rPr>
        <sz val="11"/>
        <color indexed="1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smooth surface</t>
    </r>
  </si>
  <si>
    <t>24-Hour Rainfall per County (in.)</t>
  </si>
  <si>
    <t>Curve</t>
  </si>
  <si>
    <t>Number</t>
  </si>
  <si>
    <r>
      <t xml:space="preserve">1.3  </t>
    </r>
    <r>
      <rPr>
        <sz val="11"/>
        <rFont val="Calibri"/>
        <family val="2"/>
      </rPr>
      <t>10-Year Rainfall (in.)</t>
    </r>
  </si>
  <si>
    <r>
      <t xml:space="preserve">1.3  </t>
    </r>
    <r>
      <rPr>
        <sz val="11"/>
        <rFont val="Calibri"/>
        <family val="2"/>
      </rPr>
      <t>100-Year Rainfall (in.)</t>
    </r>
  </si>
  <si>
    <t>3.4 Adjusted load from annual reductions (lb/ac/yr)</t>
  </si>
  <si>
    <t>3.5 BMP removal efficiency (%)</t>
  </si>
  <si>
    <r>
      <t>2.3 Stormwater Load (lb/</t>
    </r>
    <r>
      <rPr>
        <sz val="11"/>
        <rFont val="Calibri"/>
        <family val="2"/>
      </rPr>
      <t>ac/yr)</t>
    </r>
  </si>
  <si>
    <r>
      <t xml:space="preserve">Step 4 - Pollutant Reduction Met? </t>
    </r>
    <r>
      <rPr>
        <b/>
        <i/>
        <sz val="9"/>
        <rFont val="Calibri"/>
        <family val="2"/>
      </rPr>
      <t>(For Informational Purposes)</t>
    </r>
  </si>
  <si>
    <t>TN Pollutant Load (lb/yr)</t>
  </si>
  <si>
    <t>TP Pollutant Load (lb/yr)</t>
  </si>
  <si>
    <t>TSS Pollutant Load (lb/yr)</t>
  </si>
  <si>
    <t>2-F Advanced Bioretention - Infiltration</t>
  </si>
  <si>
    <t>of Load Reduction</t>
  </si>
  <si>
    <t>of Retention Storage</t>
  </si>
  <si>
    <t>Annual RR</t>
  </si>
  <si>
    <t>of RPv Allowance</t>
  </si>
  <si>
    <t>Annual Runoff Reduction, RPv, A/B Soil</t>
  </si>
  <si>
    <t>Annual Runoff Reduction, RPv, C/D Soil</t>
  </si>
  <si>
    <t>Runoff Reduction, Cv</t>
  </si>
  <si>
    <t>Runoff Reduction, Fv</t>
  </si>
  <si>
    <t>MANNINGS</t>
  </si>
  <si>
    <r>
      <rPr>
        <sz val="11"/>
        <color indexed="10"/>
        <rFont val="Calibri"/>
        <family val="2"/>
      </rPr>
      <t xml:space="preserve">f </t>
    </r>
    <r>
      <rPr>
        <sz val="11"/>
        <color theme="1"/>
        <rFont val="Calibri"/>
        <family val="2"/>
        <scheme val="minor"/>
      </rPr>
      <t>grass, dense</t>
    </r>
  </si>
  <si>
    <r>
      <rPr>
        <sz val="11"/>
        <color indexed="10"/>
        <rFont val="Calibri"/>
        <family val="2"/>
      </rPr>
      <t>g</t>
    </r>
    <r>
      <rPr>
        <sz val="11"/>
        <color theme="1"/>
        <rFont val="Calibri"/>
        <family val="2"/>
        <scheme val="minor"/>
      </rPr>
      <t xml:space="preserve"> grass, bermuda</t>
    </r>
  </si>
  <si>
    <r>
      <rPr>
        <sz val="11"/>
        <color indexed="10"/>
        <rFont val="Calibri"/>
        <family val="2"/>
      </rPr>
      <t>h</t>
    </r>
    <r>
      <rPr>
        <sz val="11"/>
        <color theme="1"/>
        <rFont val="Calibri"/>
        <family val="2"/>
        <scheme val="minor"/>
      </rPr>
      <t xml:space="preserve"> woods, light</t>
    </r>
  </si>
  <si>
    <r>
      <rPr>
        <sz val="11"/>
        <color indexed="10"/>
        <rFont val="Calibri"/>
        <family val="2"/>
      </rPr>
      <t>i</t>
    </r>
    <r>
      <rPr>
        <sz val="11"/>
        <color theme="1"/>
        <rFont val="Calibri"/>
        <family val="2"/>
        <scheme val="minor"/>
      </rPr>
      <t xml:space="preserve"> woods, dense</t>
    </r>
  </si>
  <si>
    <r>
      <rPr>
        <sz val="11"/>
        <color indexed="10"/>
        <rFont val="Calibri"/>
        <family val="2"/>
      </rPr>
      <t>j</t>
    </r>
    <r>
      <rPr>
        <sz val="11"/>
        <color theme="1"/>
        <rFont val="Calibri"/>
        <family val="2"/>
        <scheme val="minor"/>
      </rPr>
      <t xml:space="preserve"> range, natural</t>
    </r>
  </si>
  <si>
    <t>a</t>
  </si>
  <si>
    <t>Sheet Flow Surface Code &amp; Type</t>
  </si>
  <si>
    <t>Smooth Surface</t>
  </si>
  <si>
    <t>b</t>
  </si>
  <si>
    <t>fallow (no residue)</t>
  </si>
  <si>
    <t>c</t>
  </si>
  <si>
    <t>cultivated &lt; 20% Res.</t>
  </si>
  <si>
    <t>d</t>
  </si>
  <si>
    <t>cultivated &gt; 20% Res.</t>
  </si>
  <si>
    <t>e</t>
  </si>
  <si>
    <t>grass - range, short</t>
  </si>
  <si>
    <t>f</t>
  </si>
  <si>
    <t>grass, dense</t>
  </si>
  <si>
    <t>g</t>
  </si>
  <si>
    <t>grass, bermuda</t>
  </si>
  <si>
    <t>h</t>
  </si>
  <si>
    <t>woods, light</t>
  </si>
  <si>
    <t>i</t>
  </si>
  <si>
    <t>woods, dense</t>
  </si>
  <si>
    <t>j</t>
  </si>
  <si>
    <t>range, natural</t>
  </si>
  <si>
    <t>2yr 24hr rain event</t>
  </si>
  <si>
    <t>Ia/P</t>
  </si>
  <si>
    <t>Removal Efficiency (+ 100% of Load Reduction)</t>
  </si>
  <si>
    <t>Subarea Contributing Area (ac)</t>
  </si>
  <si>
    <t>Adjusted Subarea Data for the Summary Table for Sub-Areas Draining to a Common Point of Interest</t>
  </si>
  <si>
    <t>Cv RCN for H&amp;H Modeling</t>
  </si>
  <si>
    <t>Fv RCN for H&amp;H Modeling</t>
  </si>
  <si>
    <t xml:space="preserve">CONTRIBUTING AREA RUNOFF CURVE NUMBER               (C.A. RCN) WORKSHEET 
</t>
  </si>
  <si>
    <t xml:space="preserve"> </t>
  </si>
  <si>
    <t>0-No BMP</t>
  </si>
  <si>
    <t>No BMP</t>
  </si>
  <si>
    <t>Subarea Weighted RCN</t>
  </si>
  <si>
    <t>Retention Allowance</t>
  </si>
  <si>
    <t>9-B Sheet Flow to Afforested Filter Strip</t>
  </si>
  <si>
    <t>9-A Sheet Flow to Grassed Filter Strip</t>
  </si>
  <si>
    <t>9-C Sheet Flow to Forested Filter Strip</t>
  </si>
  <si>
    <t>9-D Sheet Flow to Grassed Open Space</t>
  </si>
  <si>
    <t>9-E Sheet Flow to Afforested Open Space</t>
  </si>
  <si>
    <t>9-F Sheet Flow to Forested Open Space</t>
  </si>
  <si>
    <t>10-B Dry Extended Detention (ED) Basin</t>
  </si>
  <si>
    <t>10-D Underground 48-HR Detention Facilities</t>
  </si>
  <si>
    <t>13-A Wet Quantity Management Pond</t>
  </si>
  <si>
    <t>15-A Proprietary Practices</t>
  </si>
  <si>
    <t>1.3  RPv for Contributing Area (in.)</t>
  </si>
  <si>
    <t>4.6 Req'd Runoff to be Managed within LOD (in.)</t>
  </si>
  <si>
    <t>4.7 Req'd Runoff to be Managed within LOD (%)</t>
  </si>
  <si>
    <t>1.4  Req'd RPv to be Managed for Contributing Area (in.)</t>
  </si>
  <si>
    <t>1.5  Req'd RPv to be Managed for Contributing Area (%)</t>
  </si>
  <si>
    <t>RPv Residual Volume (cu. ft.)</t>
  </si>
  <si>
    <t>Req'd RPv to be Managed for Contributing Area (in.)</t>
  </si>
  <si>
    <t>Req'd RPv to be Managed  for Contributing Area (%)</t>
  </si>
  <si>
    <t>C.A. RPv avg. discharge rate (cfs)</t>
  </si>
  <si>
    <t>C.A. RPv max. discharge rate (cfs)</t>
  </si>
  <si>
    <t>Step 5 - Determine Residual Volume to be Managed or Offset</t>
  </si>
  <si>
    <t>5.1 RPv Residual Volume (in.)</t>
  </si>
  <si>
    <t>5.2  RPv Residual Volume (cu.ft./ac)</t>
  </si>
  <si>
    <t>5.3  Residual Volume to be Managed or Offset (cu.ft.)</t>
  </si>
  <si>
    <t>RPv Residual Volume (cu.ft.)</t>
  </si>
  <si>
    <t>RPv Compliance Met Through Runoff Reduction?</t>
  </si>
  <si>
    <t>Equivalent RCN for H&amp;H Modeling (CN*)</t>
  </si>
  <si>
    <t>Adjusted RCN for H&amp;H Modeling (CN*)</t>
  </si>
  <si>
    <t>5.4  RPv avg. discharge rate for 48-hr detention (cfs)</t>
  </si>
  <si>
    <t>5.5 RPv max. discharge rate for 48-hr detention (cfs)</t>
  </si>
  <si>
    <t>17-B Urban Tree Planting</t>
  </si>
  <si>
    <t>17.0 Afforestation</t>
  </si>
  <si>
    <t>2.4 Target Runoff per HSG (in.)</t>
  </si>
  <si>
    <t>2.5 Subarea LOD (ac)</t>
  </si>
  <si>
    <t>2.6 Subarea Weighted RCN</t>
  </si>
  <si>
    <t>2.7 Subarea Weighted RPv (in.)</t>
  </si>
  <si>
    <t>2.8 Subarea Weighted Target Runoff (in.)</t>
  </si>
  <si>
    <t>2.3 Target RCN per HSG</t>
  </si>
  <si>
    <t>2.1  Retention volume provided (cu. ft.)</t>
  </si>
  <si>
    <t>7-A Full Rooftop Disconnection - HSG A</t>
  </si>
  <si>
    <t>7-B Full Rooftop Disconnection - HSG B</t>
  </si>
  <si>
    <t>7-C Full Rooftop Disconnection - HSG C</t>
  </si>
  <si>
    <t>7-D Full Rooftop Disconnection - HSG D</t>
  </si>
  <si>
    <t>3.2 Upstream Contributing Area (ac)</t>
  </si>
  <si>
    <t>4.1  RPv Runoff Manangement Provided (cu. ft.)</t>
  </si>
  <si>
    <t>4.2  RPv runoff volume after all reductions (in.)</t>
  </si>
  <si>
    <t>4.3  RPv runoff volume after all reductions (cu.ft.)</t>
  </si>
  <si>
    <t>4.4  Total RPv runoff reduction (in.)</t>
  </si>
  <si>
    <t>4.5  Total RPv runoff reduction (%)</t>
  </si>
  <si>
    <t>4.6  Adjusted CN after all reductions*</t>
  </si>
  <si>
    <t>4.7 Adjusted equivalent annual runoff (in.)</t>
  </si>
  <si>
    <t>4.8  RPv Compliance Met Through Runoff Reduction?</t>
  </si>
  <si>
    <t>4.9  Runoff Reduction Credit, if Applicable (cu.ft)</t>
  </si>
  <si>
    <t>4.3 Final Adjusted Load (lb/yr)</t>
  </si>
  <si>
    <t>RPv Runoff Management Provided (cu. Ft.)</t>
  </si>
  <si>
    <t>footprint itself (i.e. for Sheet Flow to Turf Filter Strip on B soils Step 4.6 cannot be below 61).  If this occurs contact the DNREC – SSP for further guidance.</t>
  </si>
  <si>
    <t>3.6 BMP effluent concentration (mg/L)</t>
  </si>
  <si>
    <r>
      <t>3.7 Final Adjusted load (lb/</t>
    </r>
    <r>
      <rPr>
        <sz val="11"/>
        <rFont val="Calibri"/>
        <family val="2"/>
      </rPr>
      <t>ac/yr)</t>
    </r>
  </si>
  <si>
    <t>EMC (mg/L)</t>
  </si>
  <si>
    <t xml:space="preserve">*NOTE:  No additional runoff reduction credit can be taken for surface recharge practices once the “Adjusted CN after all reductions” (Step 4.6) reaches the equivalent CN for the native soil-cover condition of the BMP </t>
  </si>
  <si>
    <t>RPv Runoff Management Required (cu. Ft.)</t>
  </si>
  <si>
    <t>17-AA Afforestation - HSG A</t>
  </si>
  <si>
    <t>17-AB Afforestation - HSG B</t>
  </si>
  <si>
    <t>17-AC Afforestation - HSG C</t>
  </si>
  <si>
    <t>17-AD Afforestation - HSG D</t>
  </si>
  <si>
    <t>VERSION:</t>
  </si>
  <si>
    <t xml:space="preserve">Total Contributing Area w. Upstream Areas (ac)  </t>
  </si>
  <si>
    <t>DURMM v2.51.210802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</si>
</sst>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0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i/>
      <sz val="11"/>
      <name val="Calibri"/>
      <family val="2"/>
    </font>
    <font>
      <b/>
      <i/>
      <u/>
      <sz val="11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5" fillId="0" borderId="0"/>
    <xf numFmtId="0" fontId="1" fillId="0" borderId="0"/>
    <xf numFmtId="0" fontId="3" fillId="0" borderId="0"/>
    <xf numFmtId="0" fontId="16" fillId="0" borderId="0"/>
    <xf numFmtId="0" fontId="3" fillId="0" borderId="0"/>
  </cellStyleXfs>
  <cellXfs count="533">
    <xf numFmtId="0" fontId="0" fillId="0" borderId="0" xfId="0"/>
    <xf numFmtId="0" fontId="0" fillId="0" borderId="0" xfId="0" applyAlignment="1">
      <alignment horizontal="left" indent="2"/>
    </xf>
    <xf numFmtId="0" fontId="25" fillId="0" borderId="0" xfId="0" applyFont="1"/>
    <xf numFmtId="0" fontId="27" fillId="0" borderId="0" xfId="0" applyFont="1"/>
    <xf numFmtId="0" fontId="0" fillId="0" borderId="0" xfId="0" applyFill="1" applyBorder="1"/>
    <xf numFmtId="0" fontId="0" fillId="3" borderId="1" xfId="0" applyFill="1" applyBorder="1"/>
    <xf numFmtId="0" fontId="0" fillId="3" borderId="2" xfId="0" applyFill="1" applyBorder="1"/>
    <xf numFmtId="1" fontId="0" fillId="0" borderId="0" xfId="0" applyNumberFormat="1" applyFill="1" applyBorder="1"/>
    <xf numFmtId="0" fontId="25" fillId="0" borderId="3" xfId="0" applyFont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25" fillId="0" borderId="4" xfId="0" applyFont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0" xfId="0" applyAlignment="1">
      <alignment horizontal="left" vertical="center" indent="2"/>
    </xf>
    <xf numFmtId="0" fontId="0" fillId="0" borderId="0" xfId="0" applyProtection="1"/>
    <xf numFmtId="0" fontId="3" fillId="0" borderId="0" xfId="3" quotePrefix="1" applyAlignment="1" applyProtection="1">
      <alignment horizontal="left"/>
    </xf>
    <xf numFmtId="0" fontId="11" fillId="0" borderId="7" xfId="3" quotePrefix="1" applyFont="1" applyBorder="1" applyAlignment="1" applyProtection="1">
      <alignment horizontal="center"/>
    </xf>
    <xf numFmtId="0" fontId="11" fillId="0" borderId="0" xfId="3" quotePrefix="1" applyFont="1" applyBorder="1" applyAlignment="1" applyProtection="1">
      <alignment horizontal="center"/>
    </xf>
    <xf numFmtId="0" fontId="3" fillId="0" borderId="0" xfId="3" quotePrefix="1" applyBorder="1" applyAlignment="1" applyProtection="1">
      <alignment horizontal="left"/>
    </xf>
    <xf numFmtId="0" fontId="12" fillId="0" borderId="0" xfId="3" quotePrefix="1" applyFont="1" applyBorder="1" applyAlignment="1" applyProtection="1">
      <alignment horizontal="left"/>
    </xf>
    <xf numFmtId="0" fontId="11" fillId="0" borderId="0" xfId="3" applyFont="1" applyBorder="1" applyAlignment="1" applyProtection="1">
      <alignment horizontal="center"/>
    </xf>
    <xf numFmtId="0" fontId="3" fillId="0" borderId="0" xfId="3" applyBorder="1" applyProtection="1"/>
    <xf numFmtId="0" fontId="13" fillId="4" borderId="8" xfId="3" quotePrefix="1" applyFont="1" applyFill="1" applyBorder="1" applyAlignment="1" applyProtection="1">
      <alignment horizontal="center"/>
      <protection locked="0"/>
    </xf>
    <xf numFmtId="0" fontId="13" fillId="4" borderId="3" xfId="3" quotePrefix="1" applyFont="1" applyFill="1" applyBorder="1" applyAlignment="1" applyProtection="1">
      <alignment horizontal="center"/>
      <protection locked="0"/>
    </xf>
    <xf numFmtId="0" fontId="13" fillId="4" borderId="9" xfId="3" quotePrefix="1" applyFont="1" applyFill="1" applyBorder="1" applyAlignment="1" applyProtection="1">
      <alignment horizontal="center"/>
      <protection locked="0"/>
    </xf>
    <xf numFmtId="0" fontId="13" fillId="4" borderId="10" xfId="3" quotePrefix="1" applyFont="1" applyFill="1" applyBorder="1" applyAlignment="1" applyProtection="1">
      <alignment horizontal="center"/>
      <protection locked="0"/>
    </xf>
    <xf numFmtId="0" fontId="11" fillId="4" borderId="11" xfId="3" applyFont="1" applyFill="1" applyBorder="1" applyAlignment="1" applyProtection="1">
      <alignment horizontal="center"/>
      <protection locked="0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0" fillId="0" borderId="0" xfId="0" applyBorder="1" applyAlignment="1">
      <alignment horizontal="left" indent="2"/>
    </xf>
    <xf numFmtId="0" fontId="0" fillId="0" borderId="0" xfId="0" applyBorder="1" applyAlignment="1">
      <alignment horizontal="left" vertical="center" indent="2"/>
    </xf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0" fontId="0" fillId="0" borderId="14" xfId="0" applyBorder="1"/>
    <xf numFmtId="0" fontId="0" fillId="0" borderId="15" xfId="0" applyBorder="1"/>
    <xf numFmtId="166" fontId="0" fillId="0" borderId="15" xfId="0" applyNumberFormat="1" applyBorder="1"/>
    <xf numFmtId="0" fontId="0" fillId="0" borderId="0" xfId="0" applyFont="1" applyFill="1" applyBorder="1"/>
    <xf numFmtId="0" fontId="25" fillId="0" borderId="0" xfId="0" applyFont="1" applyAlignment="1">
      <alignment horizontal="left"/>
    </xf>
    <xf numFmtId="0" fontId="0" fillId="0" borderId="0" xfId="0" applyFill="1" applyBorder="1" applyAlignment="1">
      <alignment horizontal="left" indent="4"/>
    </xf>
    <xf numFmtId="0" fontId="0" fillId="0" borderId="0" xfId="0" applyAlignment="1">
      <alignment horizontal="left" indent="4"/>
    </xf>
    <xf numFmtId="0" fontId="0" fillId="0" borderId="0" xfId="0" applyFill="1"/>
    <xf numFmtId="0" fontId="28" fillId="0" borderId="0" xfId="0" applyFont="1" applyFill="1"/>
    <xf numFmtId="10" fontId="0" fillId="0" borderId="0" xfId="0" applyNumberForma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28" fillId="0" borderId="0" xfId="0" applyFont="1" applyAlignment="1">
      <alignment horizontal="left" vertical="center" indent="2"/>
    </xf>
    <xf numFmtId="2" fontId="0" fillId="5" borderId="3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0" fontId="0" fillId="0" borderId="16" xfId="0" applyBorder="1"/>
    <xf numFmtId="0" fontId="0" fillId="0" borderId="0" xfId="0"/>
    <xf numFmtId="0" fontId="0" fillId="3" borderId="17" xfId="0" applyFill="1" applyBorder="1"/>
    <xf numFmtId="0" fontId="0" fillId="3" borderId="18" xfId="0" applyFill="1" applyBorder="1"/>
    <xf numFmtId="0" fontId="0" fillId="0" borderId="0" xfId="0" applyBorder="1"/>
    <xf numFmtId="0" fontId="29" fillId="0" borderId="0" xfId="0" applyFont="1" applyAlignment="1">
      <alignment horizontal="right"/>
    </xf>
    <xf numFmtId="0" fontId="28" fillId="0" borderId="0" xfId="0" applyFont="1" applyAlignment="1">
      <alignment horizontal="left" indent="2"/>
    </xf>
    <xf numFmtId="0" fontId="28" fillId="0" borderId="0" xfId="0" applyFont="1" applyFill="1" applyBorder="1" applyAlignment="1">
      <alignment horizontal="left" indent="2"/>
    </xf>
    <xf numFmtId="0" fontId="0" fillId="3" borderId="19" xfId="0" applyFill="1" applyBorder="1"/>
    <xf numFmtId="0" fontId="30" fillId="0" borderId="0" xfId="0" applyFont="1"/>
    <xf numFmtId="10" fontId="0" fillId="0" borderId="0" xfId="0" applyNumberFormat="1" applyBorder="1"/>
    <xf numFmtId="0" fontId="28" fillId="0" borderId="0" xfId="0" applyFont="1" applyBorder="1" applyAlignment="1">
      <alignment horizontal="left" indent="2"/>
    </xf>
    <xf numFmtId="0" fontId="0" fillId="0" borderId="0" xfId="0" applyAlignment="1">
      <alignment horizontal="center"/>
    </xf>
    <xf numFmtId="2" fontId="0" fillId="5" borderId="9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9" fontId="0" fillId="5" borderId="8" xfId="0" applyNumberFormat="1" applyFill="1" applyBorder="1" applyAlignment="1">
      <alignment horizontal="center"/>
    </xf>
    <xf numFmtId="9" fontId="0" fillId="5" borderId="21" xfId="0" applyNumberForma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2" fontId="0" fillId="5" borderId="25" xfId="0" applyNumberFormat="1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0" fontId="16" fillId="0" borderId="0" xfId="4" applyAlignment="1">
      <alignment horizontal="center"/>
    </xf>
    <xf numFmtId="0" fontId="16" fillId="0" borderId="14" xfId="4" applyBorder="1" applyAlignment="1">
      <alignment horizontal="center"/>
    </xf>
    <xf numFmtId="1" fontId="0" fillId="4" borderId="8" xfId="0" applyNumberFormat="1" applyFill="1" applyBorder="1" applyAlignment="1" applyProtection="1">
      <alignment horizontal="center"/>
      <protection locked="0"/>
    </xf>
    <xf numFmtId="9" fontId="0" fillId="4" borderId="20" xfId="0" applyNumberFormat="1" applyFill="1" applyBorder="1" applyAlignment="1" applyProtection="1">
      <alignment horizontal="center"/>
      <protection locked="0"/>
    </xf>
    <xf numFmtId="0" fontId="0" fillId="4" borderId="30" xfId="0" applyFill="1" applyBorder="1" applyProtection="1">
      <protection locked="0"/>
    </xf>
    <xf numFmtId="0" fontId="29" fillId="0" borderId="0" xfId="0" applyFont="1" applyAlignment="1" applyProtection="1">
      <alignment horizontal="right"/>
    </xf>
    <xf numFmtId="0" fontId="4" fillId="0" borderId="16" xfId="3" applyFont="1" applyBorder="1" applyAlignment="1" applyProtection="1">
      <alignment horizontal="centerContinuous"/>
    </xf>
    <xf numFmtId="0" fontId="31" fillId="0" borderId="0" xfId="3" applyFont="1" applyProtection="1"/>
    <xf numFmtId="0" fontId="31" fillId="0" borderId="0" xfId="3" applyFont="1" applyAlignment="1" applyProtection="1">
      <alignment horizontal="center"/>
    </xf>
    <xf numFmtId="0" fontId="32" fillId="0" borderId="0" xfId="3" applyFont="1" applyProtection="1"/>
    <xf numFmtId="0" fontId="31" fillId="0" borderId="14" xfId="3" applyFont="1" applyBorder="1" applyAlignment="1" applyProtection="1">
      <alignment horizontal="centerContinuous"/>
    </xf>
    <xf numFmtId="0" fontId="31" fillId="0" borderId="14" xfId="3" applyFont="1" applyBorder="1" applyProtection="1"/>
    <xf numFmtId="0" fontId="3" fillId="0" borderId="0" xfId="3" applyProtection="1"/>
    <xf numFmtId="0" fontId="2" fillId="0" borderId="0" xfId="3" applyFont="1" applyAlignment="1" applyProtection="1">
      <alignment horizontal="center"/>
    </xf>
    <xf numFmtId="0" fontId="2" fillId="0" borderId="0" xfId="3" quotePrefix="1" applyFont="1" applyAlignment="1" applyProtection="1">
      <alignment horizontal="center"/>
    </xf>
    <xf numFmtId="0" fontId="2" fillId="0" borderId="0" xfId="3" applyFont="1" applyProtection="1"/>
    <xf numFmtId="0" fontId="11" fillId="5" borderId="29" xfId="3" quotePrefix="1" applyFont="1" applyFill="1" applyBorder="1" applyAlignment="1" applyProtection="1">
      <alignment horizontal="center"/>
    </xf>
    <xf numFmtId="0" fontId="6" fillId="0" borderId="0" xfId="3" quotePrefix="1" applyFont="1" applyAlignment="1" applyProtection="1">
      <alignment horizontal="left"/>
    </xf>
    <xf numFmtId="0" fontId="11" fillId="5" borderId="31" xfId="3" quotePrefix="1" applyFont="1" applyFill="1" applyBorder="1" applyAlignment="1" applyProtection="1">
      <alignment horizontal="center"/>
    </xf>
    <xf numFmtId="0" fontId="11" fillId="5" borderId="5" xfId="3" quotePrefix="1" applyFont="1" applyFill="1" applyBorder="1" applyAlignment="1" applyProtection="1">
      <alignment horizontal="center"/>
    </xf>
    <xf numFmtId="0" fontId="11" fillId="5" borderId="11" xfId="3" quotePrefix="1" applyFont="1" applyFill="1" applyBorder="1" applyAlignment="1" applyProtection="1">
      <alignment horizontal="center"/>
    </xf>
    <xf numFmtId="0" fontId="13" fillId="0" borderId="0" xfId="3" quotePrefix="1" applyFont="1" applyFill="1" applyBorder="1" applyAlignment="1" applyProtection="1">
      <alignment horizontal="center"/>
    </xf>
    <xf numFmtId="0" fontId="11" fillId="0" borderId="0" xfId="3" quotePrefix="1" applyFont="1" applyFill="1" applyBorder="1" applyAlignment="1" applyProtection="1">
      <alignment horizontal="center"/>
    </xf>
    <xf numFmtId="0" fontId="3" fillId="0" borderId="0" xfId="3" quotePrefix="1" applyFill="1" applyBorder="1" applyAlignment="1" applyProtection="1">
      <alignment horizontal="left"/>
    </xf>
    <xf numFmtId="0" fontId="13" fillId="0" borderId="0" xfId="3" quotePrefix="1" applyFont="1" applyBorder="1" applyAlignment="1" applyProtection="1">
      <alignment horizontal="center"/>
    </xf>
    <xf numFmtId="0" fontId="13" fillId="0" borderId="0" xfId="3" quotePrefix="1" applyFont="1" applyFill="1" applyAlignment="1" applyProtection="1">
      <alignment horizontal="center"/>
    </xf>
    <xf numFmtId="0" fontId="25" fillId="0" borderId="14" xfId="0" applyFont="1" applyBorder="1" applyProtection="1"/>
    <xf numFmtId="0" fontId="5" fillId="0" borderId="0" xfId="3" quotePrefix="1" applyFont="1" applyAlignment="1" applyProtection="1">
      <alignment horizontal="left"/>
    </xf>
    <xf numFmtId="0" fontId="12" fillId="0" borderId="0" xfId="3" applyFont="1" applyAlignment="1" applyProtection="1">
      <alignment horizontal="center"/>
    </xf>
    <xf numFmtId="0" fontId="12" fillId="0" borderId="0" xfId="3" applyFont="1" applyBorder="1" applyAlignment="1" applyProtection="1">
      <alignment horizontal="center"/>
    </xf>
    <xf numFmtId="0" fontId="33" fillId="0" borderId="0" xfId="0" applyFont="1" applyBorder="1" applyProtection="1"/>
    <xf numFmtId="0" fontId="11" fillId="5" borderId="32" xfId="3" quotePrefix="1" applyFont="1" applyFill="1" applyBorder="1" applyAlignment="1" applyProtection="1">
      <alignment horizontal="center"/>
    </xf>
    <xf numFmtId="0" fontId="11" fillId="5" borderId="33" xfId="3" quotePrefix="1" applyFont="1" applyFill="1" applyBorder="1" applyAlignment="1" applyProtection="1">
      <alignment horizontal="center"/>
    </xf>
    <xf numFmtId="0" fontId="11" fillId="5" borderId="34" xfId="3" quotePrefix="1" applyFont="1" applyFill="1" applyBorder="1" applyAlignment="1" applyProtection="1">
      <alignment horizontal="center"/>
    </xf>
    <xf numFmtId="0" fontId="25" fillId="0" borderId="0" xfId="0" applyFont="1" applyBorder="1" applyProtection="1"/>
    <xf numFmtId="0" fontId="12" fillId="0" borderId="0" xfId="3" quotePrefix="1" applyFont="1" applyAlignment="1" applyProtection="1">
      <alignment horizontal="center"/>
    </xf>
    <xf numFmtId="0" fontId="12" fillId="0" borderId="0" xfId="3" quotePrefix="1" applyFont="1" applyBorder="1" applyAlignment="1" applyProtection="1">
      <alignment horizontal="center"/>
    </xf>
    <xf numFmtId="0" fontId="11" fillId="5" borderId="1" xfId="3" quotePrefix="1" applyFont="1" applyFill="1" applyBorder="1" applyAlignment="1" applyProtection="1">
      <alignment horizontal="center"/>
    </xf>
    <xf numFmtId="0" fontId="3" fillId="0" borderId="0" xfId="3" applyAlignment="1" applyProtection="1">
      <alignment horizontal="left"/>
    </xf>
    <xf numFmtId="0" fontId="13" fillId="0" borderId="0" xfId="3" quotePrefix="1" applyFont="1" applyAlignment="1" applyProtection="1">
      <alignment horizontal="center"/>
    </xf>
    <xf numFmtId="0" fontId="11" fillId="6" borderId="30" xfId="3" applyFont="1" applyFill="1" applyBorder="1" applyProtection="1"/>
    <xf numFmtId="0" fontId="11" fillId="0" borderId="0" xfId="3" applyFont="1" applyProtection="1"/>
    <xf numFmtId="0" fontId="9" fillId="6" borderId="30" xfId="3" applyFont="1" applyFill="1" applyBorder="1" applyProtection="1"/>
    <xf numFmtId="0" fontId="10" fillId="0" borderId="0" xfId="3" applyFont="1" applyProtection="1"/>
    <xf numFmtId="0" fontId="8" fillId="0" borderId="0" xfId="3" applyFont="1" applyBorder="1" applyProtection="1"/>
    <xf numFmtId="1" fontId="9" fillId="6" borderId="30" xfId="3" applyNumberFormat="1" applyFont="1" applyFill="1" applyBorder="1" applyProtection="1"/>
    <xf numFmtId="0" fontId="25" fillId="0" borderId="0" xfId="0" applyFont="1" applyAlignment="1" applyProtection="1">
      <alignment horizontal="left"/>
    </xf>
    <xf numFmtId="0" fontId="25" fillId="0" borderId="35" xfId="0" applyFont="1" applyBorder="1" applyAlignment="1" applyProtection="1">
      <alignment horizontal="left"/>
    </xf>
    <xf numFmtId="0" fontId="29" fillId="0" borderId="0" xfId="0" applyFont="1" applyProtection="1"/>
    <xf numFmtId="0" fontId="25" fillId="0" borderId="36" xfId="0" applyFont="1" applyBorder="1" applyAlignment="1" applyProtection="1">
      <alignment horizontal="center"/>
    </xf>
    <xf numFmtId="0" fontId="0" fillId="0" borderId="0" xfId="0" applyAlignment="1" applyProtection="1">
      <alignment horizontal="left" indent="2"/>
    </xf>
    <xf numFmtId="0" fontId="0" fillId="0" borderId="0" xfId="0" applyAlignment="1" applyProtection="1">
      <alignment horizontal="left" indent="4"/>
    </xf>
    <xf numFmtId="9" fontId="0" fillId="0" borderId="0" xfId="0" applyNumberFormat="1" applyFill="1" applyBorder="1" applyProtection="1"/>
    <xf numFmtId="0" fontId="29" fillId="0" borderId="0" xfId="0" applyFont="1" applyFill="1" applyBorder="1" applyAlignment="1" applyProtection="1">
      <alignment horizontal="left"/>
    </xf>
    <xf numFmtId="2" fontId="0" fillId="5" borderId="8" xfId="0" applyNumberFormat="1" applyFill="1" applyBorder="1" applyProtection="1"/>
    <xf numFmtId="2" fontId="0" fillId="5" borderId="28" xfId="0" applyNumberFormat="1" applyFill="1" applyBorder="1" applyProtection="1"/>
    <xf numFmtId="2" fontId="0" fillId="5" borderId="29" xfId="0" applyNumberFormat="1" applyFill="1" applyBorder="1" applyProtection="1"/>
    <xf numFmtId="2" fontId="0" fillId="5" borderId="3" xfId="0" applyNumberFormat="1" applyFill="1" applyBorder="1" applyProtection="1"/>
    <xf numFmtId="2" fontId="0" fillId="5" borderId="30" xfId="0" applyNumberFormat="1" applyFill="1" applyBorder="1" applyProtection="1"/>
    <xf numFmtId="2" fontId="0" fillId="5" borderId="31" xfId="0" applyNumberFormat="1" applyFill="1" applyBorder="1" applyProtection="1"/>
    <xf numFmtId="2" fontId="0" fillId="0" borderId="0" xfId="0" applyNumberFormat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25" fillId="0" borderId="3" xfId="0" applyFont="1" applyBorder="1" applyAlignment="1" applyProtection="1">
      <alignment horizontal="center"/>
    </xf>
    <xf numFmtId="0" fontId="27" fillId="0" borderId="0" xfId="0" applyFont="1" applyBorder="1" applyProtection="1"/>
    <xf numFmtId="0" fontId="25" fillId="0" borderId="4" xfId="0" applyFont="1" applyBorder="1" applyAlignment="1" applyProtection="1">
      <alignment horizontal="center"/>
    </xf>
    <xf numFmtId="0" fontId="0" fillId="3" borderId="5" xfId="0" applyFill="1" applyBorder="1" applyProtection="1"/>
    <xf numFmtId="0" fontId="28" fillId="0" borderId="0" xfId="0" applyFont="1" applyBorder="1" applyAlignment="1" applyProtection="1">
      <alignment horizontal="left" indent="2"/>
    </xf>
    <xf numFmtId="2" fontId="0" fillId="5" borderId="3" xfId="0" applyNumberFormat="1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23" xfId="0" applyFill="1" applyBorder="1" applyAlignment="1" applyProtection="1">
      <alignment horizontal="center"/>
    </xf>
    <xf numFmtId="0" fontId="28" fillId="0" borderId="0" xfId="0" applyFont="1" applyBorder="1" applyAlignment="1" applyProtection="1">
      <alignment horizontal="left" vertical="center" indent="2"/>
    </xf>
    <xf numFmtId="2" fontId="0" fillId="3" borderId="21" xfId="0" applyNumberFormat="1" applyFill="1" applyBorder="1" applyAlignment="1" applyProtection="1">
      <alignment horizontal="center"/>
    </xf>
    <xf numFmtId="0" fontId="0" fillId="3" borderId="17" xfId="0" applyFill="1" applyBorder="1" applyProtection="1"/>
    <xf numFmtId="9" fontId="0" fillId="5" borderId="3" xfId="0" applyNumberFormat="1" applyFill="1" applyBorder="1" applyAlignment="1" applyProtection="1">
      <alignment horizontal="center"/>
    </xf>
    <xf numFmtId="0" fontId="0" fillId="3" borderId="18" xfId="0" applyFill="1" applyBorder="1" applyProtection="1"/>
    <xf numFmtId="1" fontId="0" fillId="0" borderId="0" xfId="0" applyNumberFormat="1" applyFill="1" applyBorder="1" applyAlignment="1" applyProtection="1">
      <alignment horizontal="center"/>
    </xf>
    <xf numFmtId="0" fontId="0" fillId="3" borderId="2" xfId="0" applyFill="1" applyBorder="1" applyProtection="1"/>
    <xf numFmtId="9" fontId="0" fillId="5" borderId="20" xfId="0" applyNumberFormat="1" applyFill="1" applyBorder="1" applyAlignment="1" applyProtection="1">
      <alignment horizontal="center"/>
    </xf>
    <xf numFmtId="2" fontId="0" fillId="5" borderId="20" xfId="0" applyNumberForma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left" indent="2"/>
    </xf>
    <xf numFmtId="2" fontId="0" fillId="5" borderId="4" xfId="0" applyNumberFormat="1" applyFill="1" applyBorder="1" applyAlignment="1" applyProtection="1">
      <alignment horizontal="center"/>
    </xf>
    <xf numFmtId="2" fontId="0" fillId="5" borderId="9" xfId="0" applyNumberFormat="1" applyFill="1" applyBorder="1" applyAlignment="1" applyProtection="1">
      <alignment horizontal="center"/>
    </xf>
    <xf numFmtId="0" fontId="0" fillId="3" borderId="1" xfId="0" applyFill="1" applyBorder="1" applyProtection="1"/>
    <xf numFmtId="2" fontId="0" fillId="5" borderId="8" xfId="0" applyNumberFormat="1" applyFill="1" applyBorder="1" applyAlignment="1" applyProtection="1">
      <alignment horizontal="center"/>
    </xf>
    <xf numFmtId="0" fontId="0" fillId="3" borderId="32" xfId="0" applyFill="1" applyBorder="1" applyProtection="1"/>
    <xf numFmtId="2" fontId="0" fillId="6" borderId="3" xfId="0" applyNumberFormat="1" applyFill="1" applyBorder="1" applyAlignment="1" applyProtection="1">
      <alignment horizontal="center"/>
    </xf>
    <xf numFmtId="0" fontId="30" fillId="0" borderId="0" xfId="0" applyFont="1" applyProtection="1"/>
    <xf numFmtId="10" fontId="0" fillId="0" borderId="0" xfId="0" applyNumberFormat="1" applyBorder="1" applyProtection="1"/>
    <xf numFmtId="0" fontId="28" fillId="0" borderId="0" xfId="0" applyFont="1" applyAlignment="1" applyProtection="1">
      <alignment horizontal="left" indent="2"/>
    </xf>
    <xf numFmtId="2" fontId="0" fillId="5" borderId="39" xfId="0" applyNumberFormat="1" applyFill="1" applyBorder="1" applyAlignment="1" applyProtection="1">
      <alignment horizontal="center"/>
    </xf>
    <xf numFmtId="9" fontId="0" fillId="0" borderId="0" xfId="0" applyNumberFormat="1" applyBorder="1" applyProtection="1"/>
    <xf numFmtId="2" fontId="0" fillId="0" borderId="0" xfId="0" applyNumberFormat="1" applyBorder="1" applyProtection="1"/>
    <xf numFmtId="0" fontId="28" fillId="4" borderId="30" xfId="0" applyFont="1" applyFill="1" applyBorder="1" applyProtection="1">
      <protection locked="0"/>
    </xf>
    <xf numFmtId="0" fontId="28" fillId="4" borderId="40" xfId="0" applyFont="1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28" fillId="4" borderId="30" xfId="0" applyFont="1" applyFill="1" applyBorder="1" applyAlignment="1" applyProtection="1">
      <alignment horizontal="center"/>
      <protection locked="0"/>
    </xf>
    <xf numFmtId="0" fontId="28" fillId="4" borderId="40" xfId="0" applyFont="1" applyFill="1" applyBorder="1" applyAlignment="1" applyProtection="1">
      <alignment horizontal="center"/>
      <protection locked="0"/>
    </xf>
    <xf numFmtId="0" fontId="0" fillId="4" borderId="41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40" xfId="0" applyFill="1" applyBorder="1" applyAlignment="1" applyProtection="1">
      <alignment horizontal="center"/>
      <protection locked="0"/>
    </xf>
    <xf numFmtId="164" fontId="0" fillId="4" borderId="41" xfId="0" applyNumberFormat="1" applyFill="1" applyBorder="1" applyProtection="1">
      <protection locked="0"/>
    </xf>
    <xf numFmtId="164" fontId="0" fillId="4" borderId="30" xfId="0" applyNumberFormat="1" applyFill="1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Fill="1" applyBorder="1" applyProtection="1"/>
    <xf numFmtId="9" fontId="25" fillId="0" borderId="36" xfId="0" applyNumberFormat="1" applyFont="1" applyFill="1" applyBorder="1" applyAlignment="1" applyProtection="1">
      <alignment horizontal="center"/>
    </xf>
    <xf numFmtId="0" fontId="28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28" fillId="0" borderId="0" xfId="0" quotePrefix="1" applyFont="1" applyFill="1" applyBorder="1" applyProtection="1"/>
    <xf numFmtId="0" fontId="0" fillId="0" borderId="0" xfId="0" applyAlignment="1">
      <alignment horizontal="left"/>
    </xf>
    <xf numFmtId="0" fontId="5" fillId="0" borderId="0" xfId="3" applyFont="1" applyProtection="1"/>
    <xf numFmtId="0" fontId="11" fillId="4" borderId="29" xfId="3" applyFont="1" applyFill="1" applyBorder="1" applyAlignment="1" applyProtection="1">
      <alignment horizontal="center"/>
      <protection locked="0"/>
    </xf>
    <xf numFmtId="0" fontId="11" fillId="0" borderId="0" xfId="3" applyFont="1" applyFill="1" applyBorder="1" applyProtection="1"/>
    <xf numFmtId="0" fontId="11" fillId="0" borderId="0" xfId="3" applyFont="1" applyFill="1" applyProtection="1"/>
    <xf numFmtId="0" fontId="2" fillId="0" borderId="0" xfId="3" quotePrefix="1" applyFont="1" applyAlignment="1" applyProtection="1">
      <alignment horizontal="left"/>
    </xf>
    <xf numFmtId="0" fontId="25" fillId="4" borderId="17" xfId="0" quotePrefix="1" applyFont="1" applyFill="1" applyBorder="1" applyAlignment="1" applyProtection="1">
      <alignment horizontal="center" wrapText="1"/>
      <protection locked="0"/>
    </xf>
    <xf numFmtId="0" fontId="0" fillId="3" borderId="17" xfId="0" quotePrefix="1" applyFill="1" applyBorder="1" applyProtection="1"/>
    <xf numFmtId="2" fontId="0" fillId="0" borderId="30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" fontId="0" fillId="0" borderId="30" xfId="0" applyNumberFormat="1" applyFill="1" applyBorder="1" applyAlignment="1">
      <alignment horizontal="center"/>
    </xf>
    <xf numFmtId="9" fontId="0" fillId="0" borderId="42" xfId="0" applyNumberFormat="1" applyFill="1" applyBorder="1" applyAlignment="1">
      <alignment horizontal="center"/>
    </xf>
    <xf numFmtId="9" fontId="0" fillId="0" borderId="30" xfId="0" applyNumberForma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9" fontId="0" fillId="0" borderId="0" xfId="0" applyNumberFormat="1"/>
    <xf numFmtId="0" fontId="0" fillId="0" borderId="0" xfId="0" applyAlignment="1">
      <alignment wrapText="1"/>
    </xf>
    <xf numFmtId="9" fontId="28" fillId="0" borderId="0" xfId="0" applyNumberFormat="1" applyFont="1"/>
    <xf numFmtId="0" fontId="28" fillId="0" borderId="0" xfId="0" applyFont="1"/>
    <xf numFmtId="0" fontId="25" fillId="5" borderId="31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left" indent="1"/>
    </xf>
    <xf numFmtId="0" fontId="11" fillId="0" borderId="0" xfId="3" applyFont="1" applyFill="1" applyBorder="1" applyAlignment="1" applyProtection="1">
      <alignment horizontal="center"/>
    </xf>
    <xf numFmtId="0" fontId="34" fillId="4" borderId="8" xfId="0" applyFont="1" applyFill="1" applyBorder="1" applyProtection="1">
      <protection locked="0"/>
    </xf>
    <xf numFmtId="0" fontId="34" fillId="4" borderId="29" xfId="0" applyFont="1" applyFill="1" applyBorder="1" applyProtection="1">
      <protection locked="0"/>
    </xf>
    <xf numFmtId="0" fontId="34" fillId="4" borderId="9" xfId="0" applyFont="1" applyFill="1" applyBorder="1" applyProtection="1">
      <protection locked="0"/>
    </xf>
    <xf numFmtId="0" fontId="34" fillId="4" borderId="11" xfId="0" applyFont="1" applyFill="1" applyBorder="1" applyProtection="1">
      <protection locked="0"/>
    </xf>
    <xf numFmtId="0" fontId="17" fillId="0" borderId="0" xfId="0" applyFont="1" applyAlignment="1" applyProtection="1">
      <alignment horizontal="left" indent="2"/>
    </xf>
    <xf numFmtId="0" fontId="35" fillId="0" borderId="0" xfId="0" applyFont="1" applyAlignment="1" applyProtection="1">
      <alignment horizontal="left" indent="2"/>
    </xf>
    <xf numFmtId="0" fontId="31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 indent="2"/>
    </xf>
    <xf numFmtId="0" fontId="31" fillId="0" borderId="0" xfId="0" applyFont="1" applyProtection="1"/>
    <xf numFmtId="0" fontId="25" fillId="0" borderId="0" xfId="0" applyFont="1" applyBorder="1" applyAlignment="1" applyProtection="1">
      <alignment horizontal="left"/>
    </xf>
    <xf numFmtId="0" fontId="25" fillId="0" borderId="16" xfId="0" applyFont="1" applyBorder="1" applyAlignment="1" applyProtection="1">
      <alignment horizontal="left"/>
    </xf>
    <xf numFmtId="0" fontId="29" fillId="0" borderId="0" xfId="0" applyFont="1" applyAlignment="1" applyProtection="1">
      <alignment horizontal="left"/>
    </xf>
    <xf numFmtId="0" fontId="0" fillId="5" borderId="30" xfId="0" applyFill="1" applyBorder="1" applyProtection="1"/>
    <xf numFmtId="1" fontId="0" fillId="5" borderId="30" xfId="0" applyNumberFormat="1" applyFill="1" applyBorder="1" applyProtection="1"/>
    <xf numFmtId="0" fontId="0" fillId="6" borderId="30" xfId="0" applyFill="1" applyBorder="1" applyProtection="1"/>
    <xf numFmtId="1" fontId="0" fillId="6" borderId="30" xfId="0" applyNumberFormat="1" applyFill="1" applyBorder="1" applyProtection="1"/>
    <xf numFmtId="0" fontId="0" fillId="0" borderId="16" xfId="0" applyBorder="1" applyProtection="1"/>
    <xf numFmtId="0" fontId="29" fillId="0" borderId="0" xfId="0" applyFont="1" applyFill="1" applyBorder="1" applyProtection="1"/>
    <xf numFmtId="0" fontId="0" fillId="0" borderId="0" xfId="0" applyFont="1" applyProtection="1"/>
    <xf numFmtId="0" fontId="36" fillId="0" borderId="0" xfId="0" applyFont="1" applyAlignment="1" applyProtection="1">
      <alignment horizontal="left" indent="2"/>
    </xf>
    <xf numFmtId="0" fontId="0" fillId="5" borderId="30" xfId="0" applyFill="1" applyBorder="1" applyAlignment="1" applyProtection="1">
      <alignment horizontal="center"/>
    </xf>
    <xf numFmtId="0" fontId="0" fillId="5" borderId="40" xfId="0" applyFill="1" applyBorder="1" applyAlignment="1" applyProtection="1">
      <alignment horizontal="center"/>
    </xf>
    <xf numFmtId="2" fontId="0" fillId="5" borderId="40" xfId="0" applyNumberFormat="1" applyFill="1" applyBorder="1" applyProtection="1"/>
    <xf numFmtId="0" fontId="0" fillId="5" borderId="41" xfId="0" applyFill="1" applyBorder="1" applyAlignment="1" applyProtection="1">
      <alignment horizontal="center"/>
    </xf>
    <xf numFmtId="164" fontId="0" fillId="5" borderId="41" xfId="0" applyNumberFormat="1" applyFill="1" applyBorder="1" applyProtection="1"/>
    <xf numFmtId="2" fontId="0" fillId="5" borderId="41" xfId="0" applyNumberFormat="1" applyFill="1" applyBorder="1" applyProtection="1"/>
    <xf numFmtId="164" fontId="0" fillId="5" borderId="40" xfId="0" applyNumberFormat="1" applyFill="1" applyBorder="1" applyProtection="1"/>
    <xf numFmtId="0" fontId="36" fillId="0" borderId="0" xfId="0" applyFont="1" applyProtection="1"/>
    <xf numFmtId="0" fontId="28" fillId="0" borderId="0" xfId="0" applyFont="1" applyAlignment="1" applyProtection="1">
      <alignment horizontal="right" indent="1"/>
    </xf>
    <xf numFmtId="2" fontId="0" fillId="6" borderId="30" xfId="0" applyNumberFormat="1" applyFont="1" applyFill="1" applyBorder="1" applyProtection="1"/>
    <xf numFmtId="0" fontId="27" fillId="0" borderId="0" xfId="0" applyFont="1" applyProtection="1"/>
    <xf numFmtId="2" fontId="0" fillId="6" borderId="30" xfId="0" applyNumberFormat="1" applyFill="1" applyBorder="1" applyProtection="1"/>
    <xf numFmtId="0" fontId="30" fillId="0" borderId="0" xfId="0" applyFont="1" applyBorder="1" applyProtection="1"/>
    <xf numFmtId="0" fontId="0" fillId="0" borderId="0" xfId="0" applyAlignment="1" applyProtection="1">
      <alignment wrapText="1"/>
    </xf>
    <xf numFmtId="2" fontId="0" fillId="0" borderId="0" xfId="0" applyNumberFormat="1" applyFill="1" applyProtection="1"/>
    <xf numFmtId="1" fontId="0" fillId="0" borderId="0" xfId="0" applyNumberFormat="1" applyFill="1" applyProtection="1"/>
    <xf numFmtId="0" fontId="25" fillId="0" borderId="0" xfId="0" applyFont="1" applyProtection="1"/>
    <xf numFmtId="0" fontId="25" fillId="0" borderId="22" xfId="0" applyFont="1" applyBorder="1" applyAlignment="1" applyProtection="1">
      <alignment horizontal="center"/>
    </xf>
    <xf numFmtId="0" fontId="25" fillId="0" borderId="27" xfId="0" applyFont="1" applyBorder="1" applyAlignment="1" applyProtection="1">
      <alignment horizontal="center"/>
    </xf>
    <xf numFmtId="0" fontId="33" fillId="0" borderId="43" xfId="0" applyFont="1" applyBorder="1" applyAlignment="1" applyProtection="1">
      <alignment horizontal="center"/>
    </xf>
    <xf numFmtId="0" fontId="33" fillId="0" borderId="41" xfId="0" applyFont="1" applyBorder="1" applyAlignment="1" applyProtection="1">
      <alignment horizontal="center"/>
    </xf>
    <xf numFmtId="0" fontId="33" fillId="0" borderId="44" xfId="0" applyFont="1" applyBorder="1" applyAlignment="1" applyProtection="1">
      <alignment horizontal="center"/>
    </xf>
    <xf numFmtId="0" fontId="33" fillId="0" borderId="45" xfId="0" applyFont="1" applyBorder="1" applyAlignment="1" applyProtection="1">
      <alignment horizontal="center"/>
    </xf>
    <xf numFmtId="0" fontId="25" fillId="0" borderId="12" xfId="0" applyFont="1" applyBorder="1" applyAlignment="1" applyProtection="1">
      <alignment horizontal="center"/>
    </xf>
    <xf numFmtId="2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1" fontId="0" fillId="5" borderId="3" xfId="0" applyNumberForma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>
      <alignment horizontal="center"/>
    </xf>
    <xf numFmtId="2" fontId="28" fillId="5" borderId="3" xfId="0" applyNumberFormat="1" applyFont="1" applyFill="1" applyBorder="1" applyAlignment="1" applyProtection="1">
      <alignment horizontal="center"/>
    </xf>
    <xf numFmtId="2" fontId="26" fillId="3" borderId="0" xfId="0" applyNumberFormat="1" applyFont="1" applyFill="1" applyBorder="1" applyAlignment="1" applyProtection="1">
      <alignment horizontal="center"/>
    </xf>
    <xf numFmtId="11" fontId="0" fillId="5" borderId="9" xfId="0" applyNumberFormat="1" applyFill="1" applyBorder="1" applyAlignment="1" applyProtection="1">
      <alignment horizontal="center"/>
    </xf>
    <xf numFmtId="1" fontId="0" fillId="3" borderId="16" xfId="0" applyNumberFormat="1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3" borderId="38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8" fillId="0" borderId="0" xfId="0" applyFont="1" applyFill="1" applyProtection="1"/>
    <xf numFmtId="0" fontId="0" fillId="3" borderId="39" xfId="0" applyFill="1" applyBorder="1" applyAlignment="1" applyProtection="1">
      <alignment horizontal="center"/>
    </xf>
    <xf numFmtId="2" fontId="28" fillId="5" borderId="46" xfId="0" applyNumberFormat="1" applyFont="1" applyFill="1" applyBorder="1" applyAlignment="1" applyProtection="1">
      <alignment horizontal="center"/>
    </xf>
    <xf numFmtId="0" fontId="0" fillId="3" borderId="47" xfId="0" applyFill="1" applyBorder="1" applyAlignment="1" applyProtection="1">
      <alignment horizontal="center"/>
    </xf>
    <xf numFmtId="2" fontId="28" fillId="5" borderId="28" xfId="0" applyNumberFormat="1" applyFont="1" applyFill="1" applyBorder="1" applyAlignment="1" applyProtection="1">
      <alignment horizontal="center"/>
    </xf>
    <xf numFmtId="0" fontId="0" fillId="3" borderId="21" xfId="0" applyFill="1" applyBorder="1" applyAlignment="1" applyProtection="1">
      <alignment horizontal="center"/>
    </xf>
    <xf numFmtId="11" fontId="0" fillId="5" borderId="12" xfId="0" applyNumberFormat="1" applyFill="1" applyBorder="1" applyAlignment="1" applyProtection="1">
      <alignment horizontal="center"/>
    </xf>
    <xf numFmtId="11" fontId="0" fillId="5" borderId="48" xfId="0" applyNumberFormat="1" applyFill="1" applyBorder="1" applyAlignment="1" applyProtection="1">
      <alignment horizontal="center"/>
    </xf>
    <xf numFmtId="11" fontId="0" fillId="5" borderId="30" xfId="0" applyNumberFormat="1" applyFill="1" applyBorder="1" applyAlignment="1" applyProtection="1">
      <alignment horizontal="center"/>
    </xf>
    <xf numFmtId="11" fontId="0" fillId="5" borderId="31" xfId="0" applyNumberFormat="1" applyFill="1" applyBorder="1" applyAlignment="1" applyProtection="1">
      <alignment horizontal="center"/>
    </xf>
    <xf numFmtId="0" fontId="28" fillId="3" borderId="23" xfId="0" applyFont="1" applyFill="1" applyBorder="1" applyAlignment="1" applyProtection="1">
      <alignment horizontal="center"/>
    </xf>
    <xf numFmtId="0" fontId="0" fillId="3" borderId="24" xfId="0" applyFill="1" applyBorder="1" applyAlignment="1" applyProtection="1">
      <alignment horizontal="center"/>
    </xf>
    <xf numFmtId="2" fontId="0" fillId="5" borderId="25" xfId="0" applyNumberFormat="1" applyFill="1" applyBorder="1" applyAlignment="1" applyProtection="1">
      <alignment horizontal="center"/>
    </xf>
    <xf numFmtId="2" fontId="0" fillId="5" borderId="37" xfId="0" applyNumberFormat="1" applyFill="1" applyBorder="1" applyAlignment="1" applyProtection="1">
      <alignment horizontal="center"/>
    </xf>
    <xf numFmtId="0" fontId="28" fillId="3" borderId="38" xfId="0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9" fontId="0" fillId="0" borderId="16" xfId="0" applyNumberFormat="1" applyFill="1" applyBorder="1" applyAlignment="1" applyProtection="1">
      <alignment horizontal="center"/>
    </xf>
    <xf numFmtId="9" fontId="1" fillId="2" borderId="8" xfId="2" applyNumberFormat="1" applyFill="1" applyBorder="1" applyAlignment="1" applyProtection="1">
      <alignment horizontal="center"/>
    </xf>
    <xf numFmtId="9" fontId="28" fillId="3" borderId="49" xfId="0" applyNumberFormat="1" applyFont="1" applyFill="1" applyBorder="1" applyAlignment="1" applyProtection="1">
      <alignment horizontal="center"/>
    </xf>
    <xf numFmtId="0" fontId="0" fillId="3" borderId="49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2" fontId="0" fillId="3" borderId="17" xfId="0" applyNumberFormat="1" applyFill="1" applyBorder="1" applyAlignment="1" applyProtection="1">
      <alignment horizontal="center"/>
    </xf>
    <xf numFmtId="11" fontId="28" fillId="5" borderId="3" xfId="0" applyNumberFormat="1" applyFont="1" applyFill="1" applyBorder="1" applyAlignment="1" applyProtection="1">
      <alignment horizontal="center"/>
    </xf>
    <xf numFmtId="9" fontId="0" fillId="5" borderId="30" xfId="0" applyNumberFormat="1" applyFill="1" applyBorder="1" applyAlignment="1" applyProtection="1">
      <alignment horizontal="center"/>
    </xf>
    <xf numFmtId="9" fontId="0" fillId="5" borderId="31" xfId="0" applyNumberFormat="1" applyFill="1" applyBorder="1" applyAlignment="1" applyProtection="1">
      <alignment horizontal="center"/>
    </xf>
    <xf numFmtId="2" fontId="0" fillId="5" borderId="30" xfId="0" applyNumberFormat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right"/>
    </xf>
    <xf numFmtId="2" fontId="0" fillId="5" borderId="28" xfId="0" applyNumberFormat="1" applyFill="1" applyBorder="1" applyAlignment="1" applyProtection="1">
      <alignment horizontal="center"/>
    </xf>
    <xf numFmtId="1" fontId="0" fillId="5" borderId="28" xfId="0" applyNumberFormat="1" applyFill="1" applyBorder="1" applyAlignment="1" applyProtection="1">
      <alignment horizontal="center"/>
    </xf>
    <xf numFmtId="9" fontId="28" fillId="3" borderId="50" xfId="0" applyNumberFormat="1" applyFont="1" applyFill="1" applyBorder="1" applyAlignment="1" applyProtection="1">
      <alignment horizontal="center"/>
    </xf>
    <xf numFmtId="0" fontId="0" fillId="3" borderId="50" xfId="0" applyFill="1" applyBorder="1" applyAlignment="1" applyProtection="1">
      <alignment horizontal="center"/>
    </xf>
    <xf numFmtId="0" fontId="0" fillId="3" borderId="51" xfId="0" applyFill="1" applyBorder="1" applyAlignment="1" applyProtection="1">
      <alignment horizontal="center"/>
    </xf>
    <xf numFmtId="0" fontId="0" fillId="3" borderId="47" xfId="0" applyFill="1" applyBorder="1" applyProtection="1"/>
    <xf numFmtId="1" fontId="0" fillId="5" borderId="28" xfId="0" applyNumberFormat="1" applyFill="1" applyBorder="1" applyProtection="1"/>
    <xf numFmtId="0" fontId="0" fillId="3" borderId="23" xfId="0" applyFill="1" applyBorder="1" applyProtection="1"/>
    <xf numFmtId="9" fontId="0" fillId="5" borderId="30" xfId="0" applyNumberFormat="1" applyFill="1" applyBorder="1" applyProtection="1"/>
    <xf numFmtId="9" fontId="0" fillId="5" borderId="31" xfId="0" applyNumberFormat="1" applyFill="1" applyBorder="1" applyProtection="1"/>
    <xf numFmtId="0" fontId="26" fillId="0" borderId="0" xfId="0" applyFont="1" applyFill="1" applyProtection="1"/>
    <xf numFmtId="2" fontId="26" fillId="0" borderId="0" xfId="0" applyNumberFormat="1" applyFont="1" applyFill="1" applyProtection="1"/>
    <xf numFmtId="0" fontId="0" fillId="0" borderId="0" xfId="0" applyNumberFormat="1" applyFill="1" applyProtection="1"/>
    <xf numFmtId="1" fontId="0" fillId="5" borderId="31" xfId="0" applyNumberFormat="1" applyFill="1" applyBorder="1" applyProtection="1"/>
    <xf numFmtId="0" fontId="0" fillId="3" borderId="38" xfId="0" applyFill="1" applyBorder="1" applyProtection="1"/>
    <xf numFmtId="1" fontId="0" fillId="6" borderId="37" xfId="0" applyNumberFormat="1" applyFill="1" applyBorder="1" applyAlignment="1" applyProtection="1"/>
    <xf numFmtId="1" fontId="0" fillId="6" borderId="11" xfId="0" applyNumberFormat="1" applyFill="1" applyBorder="1" applyAlignment="1" applyProtection="1"/>
    <xf numFmtId="0" fontId="0" fillId="0" borderId="0" xfId="0" applyFill="1" applyAlignment="1" applyProtection="1">
      <alignment horizontal="left" indent="2"/>
    </xf>
    <xf numFmtId="0" fontId="28" fillId="0" borderId="0" xfId="0" applyFont="1" applyFill="1" applyAlignment="1" applyProtection="1">
      <alignment horizontal="left" indent="2"/>
    </xf>
    <xf numFmtId="2" fontId="28" fillId="0" borderId="0" xfId="0" applyNumberFormat="1" applyFont="1" applyFill="1" applyProtection="1"/>
    <xf numFmtId="1" fontId="26" fillId="0" borderId="0" xfId="0" applyNumberFormat="1" applyFont="1" applyFill="1" applyAlignment="1" applyProtection="1">
      <alignment horizontal="right"/>
    </xf>
    <xf numFmtId="0" fontId="25" fillId="0" borderId="0" xfId="0" applyFont="1" applyFill="1" applyAlignment="1" applyProtection="1">
      <alignment horizontal="left"/>
    </xf>
    <xf numFmtId="9" fontId="0" fillId="0" borderId="0" xfId="0" applyNumberFormat="1" applyFill="1" applyProtection="1"/>
    <xf numFmtId="0" fontId="28" fillId="0" borderId="0" xfId="0" applyFont="1" applyFill="1" applyAlignment="1">
      <alignment horizontal="center"/>
    </xf>
    <xf numFmtId="2" fontId="28" fillId="0" borderId="30" xfId="0" applyNumberFormat="1" applyFont="1" applyFill="1" applyBorder="1" applyAlignment="1">
      <alignment horizontal="center"/>
    </xf>
    <xf numFmtId="2" fontId="28" fillId="0" borderId="42" xfId="0" applyNumberFormat="1" applyFont="1" applyFill="1" applyBorder="1" applyAlignment="1">
      <alignment horizontal="center"/>
    </xf>
    <xf numFmtId="9" fontId="28" fillId="0" borderId="30" xfId="0" applyNumberFormat="1" applyFont="1" applyFill="1" applyBorder="1" applyAlignment="1">
      <alignment horizontal="center"/>
    </xf>
    <xf numFmtId="0" fontId="28" fillId="0" borderId="16" xfId="0" applyFont="1" applyBorder="1"/>
    <xf numFmtId="0" fontId="28" fillId="0" borderId="0" xfId="0" applyFont="1" applyAlignment="1">
      <alignment horizontal="left"/>
    </xf>
    <xf numFmtId="0" fontId="33" fillId="0" borderId="35" xfId="0" applyFont="1" applyBorder="1"/>
    <xf numFmtId="0" fontId="3" fillId="0" borderId="0" xfId="4" applyFont="1" applyAlignment="1">
      <alignment horizontal="center"/>
    </xf>
    <xf numFmtId="0" fontId="3" fillId="0" borderId="14" xfId="4" applyFont="1" applyBorder="1" applyAlignment="1">
      <alignment horizontal="center"/>
    </xf>
    <xf numFmtId="0" fontId="3" fillId="0" borderId="0" xfId="5" applyFont="1" applyBorder="1" applyAlignment="1">
      <alignment horizontal="center"/>
    </xf>
    <xf numFmtId="165" fontId="3" fillId="0" borderId="0" xfId="5" applyNumberFormat="1" applyFont="1" applyBorder="1" applyAlignment="1">
      <alignment horizontal="center"/>
    </xf>
    <xf numFmtId="165" fontId="16" fillId="0" borderId="0" xfId="4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8" fillId="0" borderId="52" xfId="0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9" fontId="28" fillId="0" borderId="0" xfId="0" applyNumberFormat="1" applyFont="1" applyAlignment="1">
      <alignment horizontal="center"/>
    </xf>
    <xf numFmtId="2" fontId="0" fillId="5" borderId="31" xfId="0" applyNumberForma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4" xfId="0" applyFont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5" borderId="40" xfId="0" applyFill="1" applyBorder="1" applyAlignment="1" applyProtection="1">
      <alignment horizontal="center"/>
    </xf>
    <xf numFmtId="0" fontId="0" fillId="5" borderId="41" xfId="0" applyFill="1" applyBorder="1" applyAlignment="1" applyProtection="1">
      <alignment horizontal="center"/>
    </xf>
    <xf numFmtId="0" fontId="0" fillId="0" borderId="0" xfId="0" applyProtection="1"/>
    <xf numFmtId="0" fontId="0" fillId="5" borderId="30" xfId="0" applyFill="1" applyBorder="1" applyProtection="1"/>
    <xf numFmtId="0" fontId="0" fillId="5" borderId="4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5" xfId="0" applyNumberFormat="1" applyBorder="1"/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9" fontId="0" fillId="0" borderId="0" xfId="0" applyNumberFormat="1" applyAlignment="1">
      <alignment vertical="top" wrapText="1"/>
    </xf>
    <xf numFmtId="9" fontId="28" fillId="0" borderId="0" xfId="0" applyNumberFormat="1" applyFont="1" applyAlignment="1">
      <alignment vertical="top" wrapText="1"/>
    </xf>
    <xf numFmtId="0" fontId="28" fillId="0" borderId="0" xfId="0" applyFont="1" applyAlignment="1">
      <alignment vertical="top" wrapText="1"/>
    </xf>
    <xf numFmtId="9" fontId="28" fillId="0" borderId="0" xfId="0" applyNumberFormat="1" applyFont="1" applyAlignment="1">
      <alignment horizontal="center" vertical="top" wrapText="1"/>
    </xf>
    <xf numFmtId="0" fontId="4" fillId="0" borderId="0" xfId="3" applyFont="1" applyBorder="1" applyAlignment="1" applyProtection="1">
      <alignment horizontal="right" vertical="center"/>
    </xf>
    <xf numFmtId="0" fontId="7" fillId="0" borderId="0" xfId="3" applyFont="1" applyBorder="1" applyProtection="1"/>
    <xf numFmtId="0" fontId="10" fillId="0" borderId="0" xfId="3" applyFont="1" applyBorder="1" applyProtection="1"/>
    <xf numFmtId="0" fontId="0" fillId="0" borderId="0" xfId="0" applyBorder="1" applyAlignment="1" applyProtection="1">
      <alignment horizontal="right" vertical="center" indent="2"/>
    </xf>
    <xf numFmtId="9" fontId="28" fillId="0" borderId="0" xfId="0" applyNumberFormat="1" applyFont="1" applyFill="1" applyBorder="1" applyAlignment="1">
      <alignment horizontal="center"/>
    </xf>
    <xf numFmtId="0" fontId="0" fillId="6" borderId="55" xfId="0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9" fillId="0" borderId="0" xfId="3" applyFont="1" applyBorder="1" applyProtection="1"/>
    <xf numFmtId="0" fontId="33" fillId="0" borderId="35" xfId="0" applyFont="1" applyBorder="1" applyAlignment="1">
      <alignment horizontal="right"/>
    </xf>
    <xf numFmtId="49" fontId="34" fillId="7" borderId="56" xfId="0" applyNumberFormat="1" applyFont="1" applyFill="1" applyBorder="1" applyProtection="1">
      <protection locked="0"/>
    </xf>
    <xf numFmtId="0" fontId="13" fillId="7" borderId="8" xfId="3" quotePrefix="1" applyFont="1" applyFill="1" applyBorder="1" applyAlignment="1" applyProtection="1">
      <alignment horizontal="center"/>
      <protection locked="0"/>
    </xf>
    <xf numFmtId="0" fontId="11" fillId="7" borderId="29" xfId="3" applyFont="1" applyFill="1" applyBorder="1" applyAlignment="1" applyProtection="1">
      <alignment horizontal="center"/>
      <protection locked="0"/>
    </xf>
    <xf numFmtId="49" fontId="34" fillId="7" borderId="57" xfId="0" applyNumberFormat="1" applyFont="1" applyFill="1" applyBorder="1" applyProtection="1">
      <protection locked="0"/>
    </xf>
    <xf numFmtId="0" fontId="13" fillId="7" borderId="3" xfId="3" quotePrefix="1" applyFont="1" applyFill="1" applyBorder="1" applyAlignment="1" applyProtection="1">
      <alignment horizontal="center"/>
      <protection locked="0"/>
    </xf>
    <xf numFmtId="0" fontId="11" fillId="7" borderId="31" xfId="3" applyFont="1" applyFill="1" applyBorder="1" applyAlignment="1" applyProtection="1">
      <alignment horizontal="center"/>
      <protection locked="0"/>
    </xf>
    <xf numFmtId="49" fontId="3" fillId="7" borderId="58" xfId="3" applyNumberFormat="1" applyFont="1" applyFill="1" applyBorder="1" applyProtection="1">
      <protection locked="0"/>
    </xf>
    <xf numFmtId="0" fontId="13" fillId="7" borderId="9" xfId="3" quotePrefix="1" applyFont="1" applyFill="1" applyBorder="1" applyAlignment="1" applyProtection="1">
      <alignment horizontal="center"/>
      <protection locked="0"/>
    </xf>
    <xf numFmtId="0" fontId="11" fillId="7" borderId="11" xfId="3" applyFont="1" applyFill="1" applyBorder="1" applyAlignment="1" applyProtection="1">
      <alignment horizontal="center"/>
      <protection locked="0"/>
    </xf>
    <xf numFmtId="2" fontId="0" fillId="7" borderId="3" xfId="0" applyNumberFormat="1" applyFill="1" applyBorder="1" applyAlignment="1" applyProtection="1">
      <alignment horizontal="center"/>
      <protection locked="0"/>
    </xf>
    <xf numFmtId="2" fontId="0" fillId="7" borderId="30" xfId="0" applyNumberFormat="1" applyFill="1" applyBorder="1" applyAlignment="1" applyProtection="1">
      <alignment horizontal="center"/>
      <protection locked="0"/>
    </xf>
    <xf numFmtId="2" fontId="0" fillId="7" borderId="31" xfId="0" applyNumberFormat="1" applyFill="1" applyBorder="1" applyAlignment="1" applyProtection="1">
      <alignment horizontal="center"/>
      <protection locked="0"/>
    </xf>
    <xf numFmtId="2" fontId="0" fillId="7" borderId="9" xfId="0" applyNumberFormat="1" applyFill="1" applyBorder="1" applyAlignment="1" applyProtection="1">
      <alignment horizontal="center"/>
      <protection locked="0"/>
    </xf>
    <xf numFmtId="2" fontId="0" fillId="7" borderId="37" xfId="0" applyNumberFormat="1" applyFill="1" applyBorder="1" applyAlignment="1" applyProtection="1">
      <alignment horizontal="center"/>
      <protection locked="0"/>
    </xf>
    <xf numFmtId="2" fontId="0" fillId="7" borderId="11" xfId="0" applyNumberFormat="1" applyFill="1" applyBorder="1" applyAlignment="1" applyProtection="1">
      <alignment horizontal="center"/>
      <protection locked="0"/>
    </xf>
    <xf numFmtId="0" fontId="0" fillId="0" borderId="0" xfId="0" quotePrefix="1" applyBorder="1" applyProtection="1"/>
    <xf numFmtId="0" fontId="4" fillId="0" borderId="0" xfId="3" applyFont="1" applyFill="1" applyBorder="1" applyProtection="1"/>
    <xf numFmtId="0" fontId="4" fillId="0" borderId="0" xfId="3" applyFont="1" applyBorder="1" applyAlignment="1" applyProtection="1">
      <alignment horizontal="left" vertical="center"/>
    </xf>
    <xf numFmtId="0" fontId="4" fillId="6" borderId="30" xfId="3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 indent="2"/>
    </xf>
    <xf numFmtId="1" fontId="4" fillId="6" borderId="30" xfId="3" applyNumberFormat="1" applyFont="1" applyFill="1" applyBorder="1" applyAlignment="1" applyProtection="1">
      <alignment horizontal="left"/>
    </xf>
    <xf numFmtId="0" fontId="37" fillId="0" borderId="16" xfId="0" applyFont="1" applyBorder="1" applyAlignment="1" applyProtection="1">
      <alignment horizontal="right"/>
    </xf>
    <xf numFmtId="0" fontId="37" fillId="0" borderId="16" xfId="0" applyFont="1" applyBorder="1" applyProtection="1"/>
    <xf numFmtId="0" fontId="37" fillId="0" borderId="16" xfId="0" applyFont="1" applyBorder="1" applyAlignment="1">
      <alignment horizontal="right"/>
    </xf>
    <xf numFmtId="2" fontId="0" fillId="3" borderId="26" xfId="0" applyNumberFormat="1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9" fontId="28" fillId="0" borderId="0" xfId="0" applyNumberFormat="1" applyFont="1" applyFill="1"/>
    <xf numFmtId="0" fontId="0" fillId="0" borderId="0" xfId="0" applyFont="1" applyFill="1" applyAlignment="1" applyProtection="1">
      <alignment horizontal="left" indent="2"/>
    </xf>
    <xf numFmtId="3" fontId="0" fillId="5" borderId="4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 indent="2"/>
    </xf>
    <xf numFmtId="9" fontId="0" fillId="5" borderId="9" xfId="0" applyNumberFormat="1" applyFill="1" applyBorder="1" applyAlignment="1" applyProtection="1">
      <alignment horizontal="center"/>
    </xf>
    <xf numFmtId="2" fontId="0" fillId="3" borderId="24" xfId="0" applyNumberFormat="1" applyFill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2" fontId="0" fillId="3" borderId="21" xfId="0" applyNumberFormat="1" applyFont="1" applyFill="1" applyBorder="1" applyAlignment="1" applyProtection="1">
      <alignment horizontal="center"/>
    </xf>
    <xf numFmtId="0" fontId="0" fillId="3" borderId="17" xfId="0" applyFont="1" applyFill="1" applyBorder="1" applyProtection="1"/>
    <xf numFmtId="2" fontId="0" fillId="3" borderId="24" xfId="0" applyNumberFormat="1" applyFont="1" applyFill="1" applyBorder="1" applyAlignment="1" applyProtection="1">
      <alignment horizontal="center"/>
    </xf>
    <xf numFmtId="0" fontId="0" fillId="3" borderId="1" xfId="0" applyFont="1" applyFill="1" applyBorder="1" applyProtection="1"/>
    <xf numFmtId="3" fontId="0" fillId="6" borderId="3" xfId="0" applyNumberFormat="1" applyFill="1" applyBorder="1" applyAlignment="1" applyProtection="1">
      <alignment horizontal="center"/>
    </xf>
    <xf numFmtId="165" fontId="0" fillId="6" borderId="3" xfId="0" applyNumberFormat="1" applyFill="1" applyBorder="1" applyAlignment="1" applyProtection="1">
      <alignment horizontal="center"/>
    </xf>
    <xf numFmtId="165" fontId="0" fillId="6" borderId="9" xfId="0" applyNumberFormat="1" applyFill="1" applyBorder="1" applyAlignment="1" applyProtection="1">
      <alignment horizontal="center"/>
    </xf>
    <xf numFmtId="2" fontId="44" fillId="8" borderId="3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4" borderId="56" xfId="0" applyFill="1" applyBorder="1" applyProtection="1">
      <protection locked="0"/>
    </xf>
    <xf numFmtId="0" fontId="0" fillId="4" borderId="57" xfId="0" applyFill="1" applyBorder="1" applyProtection="1">
      <protection locked="0"/>
    </xf>
    <xf numFmtId="0" fontId="0" fillId="4" borderId="66" xfId="0" applyFill="1" applyBorder="1" applyProtection="1">
      <protection locked="0"/>
    </xf>
    <xf numFmtId="9" fontId="0" fillId="4" borderId="58" xfId="0" applyNumberFormat="1" applyFill="1" applyBorder="1" applyProtection="1">
      <protection locked="0"/>
    </xf>
    <xf numFmtId="0" fontId="0" fillId="4" borderId="50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65" xfId="0" applyFill="1" applyBorder="1" applyProtection="1">
      <protection locked="0"/>
    </xf>
    <xf numFmtId="2" fontId="0" fillId="5" borderId="9" xfId="0" applyNumberFormat="1" applyFill="1" applyBorder="1" applyProtection="1"/>
    <xf numFmtId="2" fontId="0" fillId="5" borderId="37" xfId="0" applyNumberFormat="1" applyFill="1" applyBorder="1" applyProtection="1"/>
    <xf numFmtId="2" fontId="0" fillId="5" borderId="11" xfId="0" applyNumberFormat="1" applyFill="1" applyBorder="1" applyProtection="1"/>
    <xf numFmtId="0" fontId="25" fillId="5" borderId="8" xfId="0" applyNumberFormat="1" applyFont="1" applyFill="1" applyBorder="1" applyAlignment="1" applyProtection="1">
      <alignment horizontal="center"/>
      <protection locked="0"/>
    </xf>
    <xf numFmtId="3" fontId="0" fillId="5" borderId="3" xfId="0" applyNumberFormat="1" applyFill="1" applyBorder="1" applyAlignment="1" applyProtection="1">
      <alignment horizontal="center"/>
    </xf>
    <xf numFmtId="1" fontId="0" fillId="9" borderId="8" xfId="0" applyNumberFormat="1" applyFill="1" applyBorder="1" applyAlignment="1" applyProtection="1">
      <alignment horizontal="center"/>
    </xf>
    <xf numFmtId="0" fontId="0" fillId="3" borderId="67" xfId="0" applyFill="1" applyBorder="1" applyProtection="1"/>
    <xf numFmtId="2" fontId="0" fillId="3" borderId="7" xfId="0" applyNumberFormat="1" applyFill="1" applyBorder="1" applyAlignment="1" applyProtection="1">
      <alignment horizontal="center"/>
    </xf>
    <xf numFmtId="0" fontId="0" fillId="3" borderId="67" xfId="0" applyFont="1" applyFill="1" applyBorder="1" applyProtection="1"/>
    <xf numFmtId="0" fontId="0" fillId="3" borderId="21" xfId="0" applyFont="1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2" fontId="0" fillId="3" borderId="26" xfId="0" applyNumberFormat="1" applyFill="1" applyBorder="1" applyAlignment="1" applyProtection="1">
      <alignment horizontal="center"/>
    </xf>
    <xf numFmtId="0" fontId="25" fillId="3" borderId="13" xfId="0" applyFont="1" applyFill="1" applyBorder="1" applyAlignment="1" applyProtection="1">
      <alignment horizontal="center"/>
    </xf>
    <xf numFmtId="0" fontId="25" fillId="3" borderId="4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</xf>
    <xf numFmtId="1" fontId="0" fillId="5" borderId="37" xfId="0" applyNumberFormat="1" applyFill="1" applyBorder="1" applyAlignment="1" applyProtection="1">
      <alignment horizontal="center"/>
    </xf>
    <xf numFmtId="1" fontId="0" fillId="5" borderId="11" xfId="0" applyNumberFormat="1" applyFill="1" applyBorder="1" applyAlignment="1" applyProtection="1">
      <alignment horizontal="center"/>
    </xf>
    <xf numFmtId="1" fontId="28" fillId="0" borderId="30" xfId="0" applyNumberFormat="1" applyFont="1" applyFill="1" applyBorder="1" applyAlignment="1">
      <alignment horizontal="center"/>
    </xf>
    <xf numFmtId="0" fontId="0" fillId="0" borderId="14" xfId="0" applyFill="1" applyBorder="1"/>
    <xf numFmtId="0" fontId="28" fillId="0" borderId="14" xfId="0" applyFont="1" applyFill="1" applyBorder="1"/>
    <xf numFmtId="2" fontId="0" fillId="0" borderId="0" xfId="0" applyNumberFormat="1" applyFill="1"/>
    <xf numFmtId="2" fontId="28" fillId="0" borderId="0" xfId="0" applyNumberFormat="1" applyFont="1" applyFill="1"/>
    <xf numFmtId="1" fontId="0" fillId="0" borderId="0" xfId="0" applyNumberFormat="1" applyFill="1"/>
    <xf numFmtId="1" fontId="28" fillId="5" borderId="46" xfId="0" applyNumberFormat="1" applyFont="1" applyFill="1" applyBorder="1" applyAlignment="1" applyProtection="1">
      <alignment horizontal="center"/>
    </xf>
    <xf numFmtId="1" fontId="28" fillId="5" borderId="2" xfId="0" applyNumberFormat="1" applyFont="1" applyFill="1" applyBorder="1" applyAlignment="1" applyProtection="1">
      <alignment horizontal="center"/>
    </xf>
    <xf numFmtId="10" fontId="0" fillId="0" borderId="0" xfId="0" applyNumberFormat="1"/>
    <xf numFmtId="0" fontId="25" fillId="0" borderId="30" xfId="0" applyFont="1" applyBorder="1" applyAlignment="1">
      <alignment horizontal="right" vertical="center"/>
    </xf>
    <xf numFmtId="1" fontId="0" fillId="5" borderId="53" xfId="0" applyNumberFormat="1" applyFill="1" applyBorder="1" applyAlignment="1" applyProtection="1">
      <alignment horizontal="center"/>
    </xf>
    <xf numFmtId="0" fontId="0" fillId="4" borderId="48" xfId="0" applyFill="1" applyBorder="1" applyAlignment="1" applyProtection="1">
      <alignment horizontal="left" indent="1"/>
      <protection locked="0"/>
    </xf>
    <xf numFmtId="0" fontId="0" fillId="4" borderId="27" xfId="0" applyFont="1" applyFill="1" applyBorder="1" applyAlignment="1" applyProtection="1">
      <alignment horizontal="left" indent="1"/>
      <protection locked="0"/>
    </xf>
    <xf numFmtId="0" fontId="0" fillId="4" borderId="12" xfId="0" applyFont="1" applyFill="1" applyBorder="1" applyAlignment="1" applyProtection="1">
      <alignment horizontal="left" indent="1"/>
      <protection locked="0"/>
    </xf>
    <xf numFmtId="0" fontId="28" fillId="4" borderId="48" xfId="0" applyFont="1" applyFill="1" applyBorder="1" applyAlignment="1" applyProtection="1">
      <alignment horizontal="left" indent="1"/>
      <protection locked="0"/>
    </xf>
    <xf numFmtId="0" fontId="28" fillId="4" borderId="27" xfId="0" applyFont="1" applyFill="1" applyBorder="1" applyAlignment="1" applyProtection="1">
      <alignment horizontal="left" indent="1"/>
      <protection locked="0"/>
    </xf>
    <xf numFmtId="0" fontId="28" fillId="4" borderId="12" xfId="0" applyFont="1" applyFill="1" applyBorder="1" applyAlignment="1" applyProtection="1">
      <alignment horizontal="left" indent="1"/>
      <protection locked="0"/>
    </xf>
    <xf numFmtId="0" fontId="37" fillId="0" borderId="16" xfId="0" applyFont="1" applyBorder="1" applyAlignment="1" applyProtection="1">
      <alignment horizontal="right" vertical="top" wrapText="1"/>
    </xf>
    <xf numFmtId="0" fontId="39" fillId="0" borderId="16" xfId="0" applyFont="1" applyBorder="1" applyAlignment="1" applyProtection="1">
      <alignment horizontal="right" vertical="top" wrapText="1"/>
    </xf>
    <xf numFmtId="0" fontId="11" fillId="0" borderId="0" xfId="3" applyFont="1" applyBorder="1" applyAlignment="1" applyProtection="1">
      <alignment horizontal="right" vertical="center"/>
    </xf>
    <xf numFmtId="0" fontId="31" fillId="0" borderId="49" xfId="3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3" applyFont="1" applyBorder="1" applyAlignment="1" applyProtection="1">
      <alignment vertical="center"/>
    </xf>
    <xf numFmtId="0" fontId="38" fillId="0" borderId="0" xfId="0" applyFont="1" applyBorder="1" applyAlignment="1" applyProtection="1">
      <alignment vertical="center"/>
    </xf>
    <xf numFmtId="0" fontId="38" fillId="0" borderId="7" xfId="0" applyFont="1" applyBorder="1" applyAlignment="1" applyProtection="1">
      <alignment vertical="center"/>
    </xf>
    <xf numFmtId="0" fontId="11" fillId="0" borderId="0" xfId="3" applyFont="1" applyBorder="1" applyAlignment="1" applyProtection="1">
      <alignment horizontal="right" vertical="center" wrapText="1" indent="2"/>
    </xf>
    <xf numFmtId="0" fontId="46" fillId="0" borderId="0" xfId="0" applyFont="1" applyBorder="1" applyAlignment="1" applyProtection="1">
      <alignment horizontal="right" vertical="center" wrapText="1" indent="2"/>
    </xf>
    <xf numFmtId="0" fontId="31" fillId="0" borderId="16" xfId="3" applyFont="1" applyBorder="1" applyAlignment="1" applyProtection="1">
      <alignment horizontal="center"/>
    </xf>
    <xf numFmtId="2" fontId="0" fillId="6" borderId="22" xfId="0" applyNumberFormat="1" applyFill="1" applyBorder="1" applyAlignment="1" applyProtection="1">
      <alignment horizontal="center"/>
    </xf>
    <xf numFmtId="2" fontId="0" fillId="6" borderId="27" xfId="0" applyNumberFormat="1" applyFill="1" applyBorder="1" applyAlignment="1" applyProtection="1">
      <alignment horizontal="center"/>
    </xf>
    <xf numFmtId="2" fontId="0" fillId="6" borderId="59" xfId="0" applyNumberFormat="1" applyFill="1" applyBorder="1" applyAlignment="1" applyProtection="1">
      <alignment horizontal="center"/>
    </xf>
    <xf numFmtId="9" fontId="0" fillId="6" borderId="60" xfId="0" applyNumberFormat="1" applyFill="1" applyBorder="1" applyAlignment="1" applyProtection="1">
      <alignment horizontal="center"/>
    </xf>
    <xf numFmtId="9" fontId="0" fillId="6" borderId="35" xfId="0" applyNumberFormat="1" applyFill="1" applyBorder="1" applyAlignment="1" applyProtection="1">
      <alignment horizontal="center"/>
    </xf>
    <xf numFmtId="9" fontId="0" fillId="6" borderId="61" xfId="0" applyNumberFormat="1" applyFill="1" applyBorder="1" applyAlignment="1" applyProtection="1">
      <alignment horizontal="center"/>
    </xf>
    <xf numFmtId="2" fontId="0" fillId="6" borderId="62" xfId="0" applyNumberFormat="1" applyFill="1" applyBorder="1" applyAlignment="1" applyProtection="1">
      <alignment horizontal="center"/>
    </xf>
    <xf numFmtId="2" fontId="0" fillId="6" borderId="50" xfId="0" applyNumberFormat="1" applyFill="1" applyBorder="1" applyAlignment="1" applyProtection="1">
      <alignment horizontal="center"/>
    </xf>
    <xf numFmtId="2" fontId="0" fillId="6" borderId="51" xfId="0" applyNumberFormat="1" applyFill="1" applyBorder="1" applyAlignment="1" applyProtection="1">
      <alignment horizontal="center"/>
    </xf>
    <xf numFmtId="0" fontId="0" fillId="5" borderId="30" xfId="0" applyFont="1" applyFill="1" applyBorder="1" applyAlignment="1" applyProtection="1">
      <alignment horizontal="left" indent="1"/>
    </xf>
    <xf numFmtId="2" fontId="0" fillId="5" borderId="62" xfId="0" applyNumberFormat="1" applyFill="1" applyBorder="1" applyAlignment="1" applyProtection="1">
      <alignment horizontal="center"/>
    </xf>
    <xf numFmtId="2" fontId="0" fillId="5" borderId="50" xfId="0" applyNumberFormat="1" applyFill="1" applyBorder="1" applyAlignment="1" applyProtection="1">
      <alignment horizontal="center"/>
    </xf>
    <xf numFmtId="2" fontId="0" fillId="5" borderId="51" xfId="0" applyNumberFormat="1" applyFill="1" applyBorder="1" applyAlignment="1" applyProtection="1">
      <alignment horizontal="center"/>
    </xf>
    <xf numFmtId="2" fontId="0" fillId="5" borderId="22" xfId="0" applyNumberFormat="1" applyFill="1" applyBorder="1" applyAlignment="1" applyProtection="1">
      <alignment horizontal="center"/>
    </xf>
    <xf numFmtId="2" fontId="0" fillId="5" borderId="27" xfId="0" applyNumberFormat="1" applyFill="1" applyBorder="1" applyAlignment="1" applyProtection="1">
      <alignment horizontal="center"/>
    </xf>
    <xf numFmtId="2" fontId="0" fillId="5" borderId="59" xfId="0" applyNumberFormat="1" applyFill="1" applyBorder="1" applyAlignment="1" applyProtection="1">
      <alignment horizontal="center"/>
    </xf>
    <xf numFmtId="2" fontId="0" fillId="5" borderId="60" xfId="0" applyNumberFormat="1" applyFill="1" applyBorder="1" applyAlignment="1" applyProtection="1">
      <alignment horizontal="center"/>
    </xf>
    <xf numFmtId="2" fontId="0" fillId="5" borderId="35" xfId="0" applyNumberFormat="1" applyFill="1" applyBorder="1" applyAlignment="1" applyProtection="1">
      <alignment horizontal="center"/>
    </xf>
    <xf numFmtId="2" fontId="0" fillId="5" borderId="61" xfId="0" applyNumberFormat="1" applyFill="1" applyBorder="1" applyAlignment="1" applyProtection="1">
      <alignment horizontal="center"/>
    </xf>
    <xf numFmtId="0" fontId="37" fillId="0" borderId="0" xfId="0" applyFont="1" applyBorder="1" applyAlignment="1" applyProtection="1">
      <alignment horizontal="right" vertical="top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5" borderId="48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40" fillId="8" borderId="0" xfId="0" applyFont="1" applyFill="1" applyBorder="1" applyProtection="1"/>
    <xf numFmtId="0" fontId="45" fillId="8" borderId="0" xfId="0" applyFont="1" applyFill="1" applyBorder="1" applyProtection="1"/>
    <xf numFmtId="0" fontId="40" fillId="8" borderId="0" xfId="0" applyFont="1" applyFill="1" applyBorder="1" applyAlignment="1" applyProtection="1">
      <alignment wrapText="1"/>
    </xf>
    <xf numFmtId="0" fontId="25" fillId="0" borderId="62" xfId="0" applyFont="1" applyBorder="1" applyAlignment="1" applyProtection="1">
      <alignment horizontal="center"/>
    </xf>
    <xf numFmtId="0" fontId="25" fillId="0" borderId="51" xfId="0" applyFont="1" applyBorder="1" applyAlignment="1" applyProtection="1">
      <alignment horizontal="center"/>
    </xf>
    <xf numFmtId="0" fontId="0" fillId="0" borderId="62" xfId="0" applyFont="1" applyBorder="1" applyAlignment="1" applyProtection="1">
      <alignment horizontal="center"/>
    </xf>
    <xf numFmtId="0" fontId="0" fillId="0" borderId="51" xfId="0" applyFont="1" applyBorder="1" applyAlignment="1" applyProtection="1">
      <alignment horizontal="center"/>
    </xf>
    <xf numFmtId="0" fontId="25" fillId="0" borderId="50" xfId="0" applyFont="1" applyBorder="1" applyAlignment="1" applyProtection="1">
      <alignment horizontal="center"/>
    </xf>
    <xf numFmtId="0" fontId="25" fillId="5" borderId="30" xfId="0" applyFont="1" applyFill="1" applyBorder="1" applyAlignment="1" applyProtection="1">
      <alignment horizontal="center" wrapText="1"/>
    </xf>
    <xf numFmtId="0" fontId="25" fillId="5" borderId="31" xfId="0" applyFont="1" applyFill="1" applyBorder="1" applyAlignment="1" applyProtection="1">
      <alignment horizontal="center" wrapText="1"/>
    </xf>
    <xf numFmtId="0" fontId="25" fillId="0" borderId="49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41" fillId="0" borderId="16" xfId="0" applyFont="1" applyFill="1" applyBorder="1" applyAlignment="1" applyProtection="1">
      <alignment horizontal="center"/>
    </xf>
    <xf numFmtId="0" fontId="25" fillId="5" borderId="30" xfId="0" applyNumberFormat="1" applyFont="1" applyFill="1" applyBorder="1" applyAlignment="1" applyProtection="1">
      <alignment horizontal="center" wrapText="1"/>
    </xf>
    <xf numFmtId="0" fontId="25" fillId="5" borderId="48" xfId="0" applyNumberFormat="1" applyFont="1" applyFill="1" applyBorder="1" applyAlignment="1" applyProtection="1">
      <alignment horizontal="center" wrapText="1"/>
    </xf>
    <xf numFmtId="0" fontId="25" fillId="5" borderId="48" xfId="0" applyFont="1" applyFill="1" applyBorder="1" applyAlignment="1" applyProtection="1">
      <alignment horizontal="center" wrapText="1"/>
    </xf>
    <xf numFmtId="0" fontId="0" fillId="0" borderId="14" xfId="0" applyFill="1" applyBorder="1" applyAlignment="1">
      <alignment horizontal="center"/>
    </xf>
    <xf numFmtId="0" fontId="25" fillId="5" borderId="30" xfId="0" applyFont="1" applyFill="1" applyBorder="1" applyAlignment="1" applyProtection="1">
      <alignment horizontal="left"/>
    </xf>
    <xf numFmtId="0" fontId="25" fillId="4" borderId="48" xfId="0" applyFont="1" applyFill="1" applyBorder="1" applyAlignment="1" applyProtection="1">
      <alignment horizontal="left"/>
      <protection locked="0"/>
    </xf>
    <xf numFmtId="0" fontId="25" fillId="4" borderId="27" xfId="0" applyFont="1" applyFill="1" applyBorder="1" applyAlignment="1" applyProtection="1">
      <alignment horizontal="left"/>
      <protection locked="0"/>
    </xf>
    <xf numFmtId="0" fontId="25" fillId="4" borderId="12" xfId="0" applyFont="1" applyFill="1" applyBorder="1" applyAlignment="1" applyProtection="1">
      <alignment horizontal="left"/>
      <protection locked="0"/>
    </xf>
    <xf numFmtId="0" fontId="25" fillId="5" borderId="27" xfId="0" applyFont="1" applyFill="1" applyBorder="1" applyAlignment="1" applyProtection="1">
      <alignment horizontal="center"/>
    </xf>
    <xf numFmtId="0" fontId="25" fillId="5" borderId="12" xfId="0" applyFont="1" applyFill="1" applyBorder="1" applyAlignment="1" applyProtection="1">
      <alignment horizontal="center"/>
    </xf>
    <xf numFmtId="0" fontId="0" fillId="5" borderId="30" xfId="0" applyFont="1" applyFill="1" applyBorder="1" applyAlignment="1">
      <alignment horizontal="left" indent="1"/>
    </xf>
    <xf numFmtId="0" fontId="25" fillId="0" borderId="62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30" xfId="0" applyFont="1" applyBorder="1" applyAlignment="1">
      <alignment horizontal="left" indent="1"/>
    </xf>
    <xf numFmtId="0" fontId="42" fillId="0" borderId="42" xfId="0" applyFont="1" applyFill="1" applyBorder="1" applyAlignment="1">
      <alignment horizontal="center" vertical="center" wrapText="1"/>
    </xf>
    <xf numFmtId="0" fontId="42" fillId="0" borderId="55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25" fillId="0" borderId="48" xfId="0" applyFont="1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0" fontId="0" fillId="0" borderId="12" xfId="0" applyFont="1" applyBorder="1" applyAlignment="1">
      <alignment horizontal="left" vertical="center" indent="1"/>
    </xf>
    <xf numFmtId="0" fontId="33" fillId="0" borderId="48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18" fillId="0" borderId="54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 wrapText="1"/>
    </xf>
    <xf numFmtId="0" fontId="18" fillId="0" borderId="63" xfId="0" applyFont="1" applyFill="1" applyBorder="1" applyAlignment="1">
      <alignment horizontal="center" wrapText="1"/>
    </xf>
  </cellXfs>
  <cellStyles count="6">
    <cellStyle name="Normal" xfId="0" builtinId="0"/>
    <cellStyle name="Normal 2" xfId="1" xr:uid="{00000000-0005-0000-0000-000001000000}"/>
    <cellStyle name="Normal_TMDL" xfId="2" xr:uid="{00000000-0005-0000-0000-000002000000}"/>
    <cellStyle name="Normal_WATERWAY" xfId="3" xr:uid="{00000000-0005-0000-0000-000003000000}"/>
    <cellStyle name="Normal_WATERWAY 2" xfId="4" xr:uid="{00000000-0005-0000-0000-000004000000}"/>
    <cellStyle name="Normal_WATERWAY 2_OLOD" xfId="5" xr:uid="{00000000-0005-0000-0000-000005000000}"/>
  </cellStyles>
  <dxfs count="3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CC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CCFF"/>
      <color rgb="FFCCECFF"/>
      <color rgb="FFCCFFCC"/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47625</xdr:colOff>
          <xdr:row>91</xdr:row>
          <xdr:rowOff>57150</xdr:rowOff>
        </xdr:from>
        <xdr:to>
          <xdr:col>20</xdr:col>
          <xdr:colOff>47625</xdr:colOff>
          <xdr:row>94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CLEAR TABLE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57150</xdr:colOff>
          <xdr:row>8</xdr:row>
          <xdr:rowOff>28575</xdr:rowOff>
        </xdr:from>
        <xdr:to>
          <xdr:col>20</xdr:col>
          <xdr:colOff>57150</xdr:colOff>
          <xdr:row>9</xdr:row>
          <xdr:rowOff>180975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CLEAR TABLE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</xdr:row>
          <xdr:rowOff>9525</xdr:rowOff>
        </xdr:from>
        <xdr:to>
          <xdr:col>7</xdr:col>
          <xdr:colOff>485775</xdr:colOff>
          <xdr:row>6</xdr:row>
          <xdr:rowOff>180975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276225</xdr:colOff>
          <xdr:row>18</xdr:row>
          <xdr:rowOff>57150</xdr:rowOff>
        </xdr:from>
        <xdr:to>
          <xdr:col>9</xdr:col>
          <xdr:colOff>476250</xdr:colOff>
          <xdr:row>19</xdr:row>
          <xdr:rowOff>161925</xdr:rowOff>
        </xdr:to>
        <xdr:sp macro="" textlink="">
          <xdr:nvSpPr>
            <xdr:cNvPr id="12299" name="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2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CLEAR Tc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923925</xdr:colOff>
          <xdr:row>4</xdr:row>
          <xdr:rowOff>28575</xdr:rowOff>
        </xdr:from>
        <xdr:to>
          <xdr:col>0</xdr:col>
          <xdr:colOff>1857375</xdr:colOff>
          <xdr:row>5</xdr:row>
          <xdr:rowOff>0</xdr:rowOff>
        </xdr:to>
        <xdr:sp macro="" textlink="">
          <xdr:nvSpPr>
            <xdr:cNvPr id="3086" name="Butto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LocksWithSheet="0"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X109"/>
  <sheetViews>
    <sheetView tabSelected="1" zoomScale="80" zoomScaleNormal="80" workbookViewId="0">
      <pane ySplit="7" topLeftCell="A59" activePane="bottomLeft" state="frozen"/>
      <selection pane="bottomLeft" activeCell="C4" sqref="C4:O4"/>
    </sheetView>
  </sheetViews>
  <sheetFormatPr defaultRowHeight="15" x14ac:dyDescent="0.25"/>
  <cols>
    <col min="1" max="1" width="14.85546875" style="14" customWidth="1"/>
    <col min="2" max="2" width="36.5703125" style="14" bestFit="1" customWidth="1"/>
    <col min="3" max="3" width="17.140625" style="14" customWidth="1"/>
    <col min="4" max="4" width="2.28515625" style="14" customWidth="1"/>
    <col min="5" max="5" width="7.7109375" style="14" customWidth="1"/>
    <col min="6" max="6" width="5.42578125" style="14" customWidth="1"/>
    <col min="7" max="7" width="3.7109375" style="14" hidden="1" customWidth="1"/>
    <col min="8" max="8" width="7.7109375" style="14" customWidth="1"/>
    <col min="9" max="9" width="5.7109375" style="14" customWidth="1"/>
    <col min="10" max="10" width="3.5703125" style="14" hidden="1" customWidth="1"/>
    <col min="11" max="11" width="7.7109375" style="14" customWidth="1"/>
    <col min="12" max="12" width="5.7109375" style="14" customWidth="1"/>
    <col min="13" max="13" width="3.42578125" style="14" hidden="1" customWidth="1"/>
    <col min="14" max="14" width="7.7109375" style="14" customWidth="1"/>
    <col min="15" max="15" width="5.7109375" style="14" customWidth="1"/>
    <col min="16" max="16" width="3.28515625" style="14" hidden="1" customWidth="1"/>
    <col min="17" max="17" width="8" style="14" hidden="1" customWidth="1"/>
    <col min="18" max="22" width="9.140625" style="14"/>
    <col min="23" max="23" width="15.7109375" style="14" hidden="1" customWidth="1"/>
    <col min="24" max="16384" width="9.140625" style="14"/>
  </cols>
  <sheetData>
    <row r="1" spans="1:17" ht="15.75" x14ac:dyDescent="0.25">
      <c r="B1" s="82" t="s">
        <v>4</v>
      </c>
      <c r="C1" s="444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6"/>
    </row>
    <row r="2" spans="1:17" ht="15.75" x14ac:dyDescent="0.25">
      <c r="B2" s="82" t="s">
        <v>7</v>
      </c>
      <c r="C2" s="444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6"/>
    </row>
    <row r="3" spans="1:17" ht="15.75" x14ac:dyDescent="0.25">
      <c r="B3" s="82" t="s">
        <v>205</v>
      </c>
      <c r="C3" s="447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9"/>
    </row>
    <row r="4" spans="1:17" ht="15.75" x14ac:dyDescent="0.25">
      <c r="B4" s="82" t="s">
        <v>211</v>
      </c>
      <c r="C4" s="447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9"/>
    </row>
    <row r="5" spans="1:17" ht="33" customHeight="1" thickBot="1" x14ac:dyDescent="0.3">
      <c r="A5" s="450" t="s">
        <v>545</v>
      </c>
      <c r="B5" s="451"/>
      <c r="C5" s="83"/>
      <c r="D5" s="83"/>
      <c r="E5" s="460" t="s">
        <v>18</v>
      </c>
      <c r="F5" s="460"/>
      <c r="G5" s="460"/>
      <c r="H5" s="460"/>
      <c r="I5" s="460"/>
      <c r="J5" s="460"/>
      <c r="K5" s="460"/>
      <c r="L5" s="460"/>
      <c r="M5" s="460"/>
      <c r="N5" s="460"/>
      <c r="O5" s="460"/>
    </row>
    <row r="6" spans="1:17" ht="15.75" x14ac:dyDescent="0.25">
      <c r="A6" s="84" t="s">
        <v>16</v>
      </c>
      <c r="B6" s="85" t="s">
        <v>17</v>
      </c>
      <c r="C6" s="453" t="s">
        <v>146</v>
      </c>
      <c r="D6" s="86"/>
      <c r="E6" s="87" t="s">
        <v>19</v>
      </c>
      <c r="F6" s="87"/>
      <c r="G6" s="88"/>
      <c r="H6" s="87" t="s">
        <v>20</v>
      </c>
      <c r="I6" s="87"/>
      <c r="J6" s="88"/>
      <c r="K6" s="87" t="s">
        <v>21</v>
      </c>
      <c r="L6" s="87"/>
      <c r="M6" s="88"/>
      <c r="N6" s="87" t="s">
        <v>22</v>
      </c>
      <c r="O6" s="87"/>
    </row>
    <row r="7" spans="1:17" x14ac:dyDescent="0.25">
      <c r="B7" s="89"/>
      <c r="C7" s="454"/>
      <c r="D7" s="89"/>
      <c r="E7" s="90" t="s">
        <v>147</v>
      </c>
      <c r="F7" s="90" t="s">
        <v>148</v>
      </c>
      <c r="G7" s="91">
        <f>IF(AND(E7&gt;0,E7&lt;10000),E7*F7,0)</f>
        <v>0</v>
      </c>
      <c r="H7" s="90" t="s">
        <v>147</v>
      </c>
      <c r="I7" s="90" t="s">
        <v>148</v>
      </c>
      <c r="J7" s="91">
        <f>IF(AND(H7&gt;0,H7&lt;10000),H7*I7,0)</f>
        <v>0</v>
      </c>
      <c r="K7" s="90" t="s">
        <v>147</v>
      </c>
      <c r="L7" s="90" t="s">
        <v>148</v>
      </c>
      <c r="M7" s="91">
        <f>IF(AND(K7&gt;0,K7&lt;10000),K7*L7,0)</f>
        <v>0</v>
      </c>
      <c r="N7" s="90" t="s">
        <v>147</v>
      </c>
      <c r="O7" s="90" t="s">
        <v>148</v>
      </c>
      <c r="P7" s="15">
        <f>IF(AND(N7&gt;0,N7&lt;10000),N7*O7,0)</f>
        <v>0</v>
      </c>
    </row>
    <row r="8" spans="1:17" ht="15.75" thickBot="1" x14ac:dyDescent="0.3">
      <c r="A8" s="15" t="s">
        <v>145</v>
      </c>
      <c r="B8" s="89"/>
      <c r="C8" s="92"/>
      <c r="D8" s="89"/>
      <c r="E8" s="90"/>
      <c r="F8" s="90"/>
      <c r="G8" s="91"/>
      <c r="H8" s="90"/>
      <c r="I8" s="90"/>
      <c r="J8" s="91"/>
      <c r="K8" s="90"/>
      <c r="L8" s="90"/>
      <c r="M8" s="91"/>
      <c r="N8" s="90"/>
      <c r="O8" s="90"/>
      <c r="P8" s="15"/>
    </row>
    <row r="9" spans="1:17" x14ac:dyDescent="0.25">
      <c r="A9" s="89" t="s">
        <v>24</v>
      </c>
      <c r="B9" s="15" t="s">
        <v>25</v>
      </c>
      <c r="C9" s="15" t="s">
        <v>26</v>
      </c>
      <c r="D9" s="15"/>
      <c r="E9" s="22"/>
      <c r="F9" s="93" t="s">
        <v>28</v>
      </c>
      <c r="G9" s="15">
        <f>ROUND(IF(AND(E9&gt;0,E9&lt;10000),E9*F9,0),2)</f>
        <v>0</v>
      </c>
      <c r="H9" s="22"/>
      <c r="I9" s="93" t="s">
        <v>29</v>
      </c>
      <c r="J9" s="15">
        <f>ROUND(IF(AND(H9&gt;0,H9&lt;10000),H9*I9,0),2)</f>
        <v>0</v>
      </c>
      <c r="K9" s="22"/>
      <c r="L9" s="93" t="s">
        <v>30</v>
      </c>
      <c r="M9" s="15">
        <f>ROUND(IF(AND(K9&gt;0,K9&lt;10000),K9*L9,0),2)</f>
        <v>0</v>
      </c>
      <c r="N9" s="22"/>
      <c r="O9" s="93" t="s">
        <v>31</v>
      </c>
      <c r="P9" s="15">
        <f>ROUND(IF(AND(N9&gt;0,N9&lt;10000),N9*O9,0),2)</f>
        <v>0</v>
      </c>
      <c r="Q9" s="94" t="s">
        <v>27</v>
      </c>
    </row>
    <row r="10" spans="1:17" x14ac:dyDescent="0.25">
      <c r="A10" s="89"/>
      <c r="B10" s="15" t="s">
        <v>32</v>
      </c>
      <c r="C10" s="15" t="s">
        <v>33</v>
      </c>
      <c r="D10" s="15"/>
      <c r="E10" s="23"/>
      <c r="F10" s="95" t="s">
        <v>34</v>
      </c>
      <c r="G10" s="15">
        <f t="shared" ref="G10:G41" si="0">ROUND(IF(AND(E10&gt;0,E10&lt;10000),E10*F10,0),2)</f>
        <v>0</v>
      </c>
      <c r="H10" s="23"/>
      <c r="I10" s="95" t="s">
        <v>35</v>
      </c>
      <c r="J10" s="15">
        <f t="shared" ref="J10:J41" si="1">ROUND(IF(AND(H10&gt;0,H10&lt;10000),H10*I10,0),2)</f>
        <v>0</v>
      </c>
      <c r="K10" s="23"/>
      <c r="L10" s="95" t="s">
        <v>36</v>
      </c>
      <c r="M10" s="15">
        <f t="shared" ref="M10:M41" si="2">ROUND(IF(AND(K10&gt;0,K10&lt;10000),K10*L10,0),2)</f>
        <v>0</v>
      </c>
      <c r="N10" s="23"/>
      <c r="O10" s="95" t="s">
        <v>37</v>
      </c>
      <c r="P10" s="15">
        <f t="shared" ref="P10:P41" si="3">ROUND(IF(AND(N10&gt;0,N10&lt;10000),N10*O10,0),2)</f>
        <v>0</v>
      </c>
      <c r="Q10" s="94" t="s">
        <v>27</v>
      </c>
    </row>
    <row r="11" spans="1:17" x14ac:dyDescent="0.25">
      <c r="A11" s="89"/>
      <c r="B11" s="15" t="s">
        <v>32</v>
      </c>
      <c r="C11" s="15" t="s">
        <v>38</v>
      </c>
      <c r="D11" s="15"/>
      <c r="E11" s="23"/>
      <c r="F11" s="95" t="s">
        <v>39</v>
      </c>
      <c r="G11" s="15">
        <f t="shared" si="0"/>
        <v>0</v>
      </c>
      <c r="H11" s="23"/>
      <c r="I11" s="95" t="s">
        <v>40</v>
      </c>
      <c r="J11" s="15">
        <f t="shared" si="1"/>
        <v>0</v>
      </c>
      <c r="K11" s="23"/>
      <c r="L11" s="95" t="s">
        <v>41</v>
      </c>
      <c r="M11" s="15">
        <f t="shared" si="2"/>
        <v>0</v>
      </c>
      <c r="N11" s="23"/>
      <c r="O11" s="95" t="s">
        <v>36</v>
      </c>
      <c r="P11" s="15">
        <f t="shared" si="3"/>
        <v>0</v>
      </c>
      <c r="Q11" s="94" t="s">
        <v>27</v>
      </c>
    </row>
    <row r="12" spans="1:17" x14ac:dyDescent="0.25">
      <c r="A12" s="89" t="s">
        <v>42</v>
      </c>
      <c r="B12" s="15" t="s">
        <v>43</v>
      </c>
      <c r="C12" s="15" t="s">
        <v>33</v>
      </c>
      <c r="D12" s="15"/>
      <c r="E12" s="23"/>
      <c r="F12" s="95" t="s">
        <v>44</v>
      </c>
      <c r="G12" s="15">
        <f t="shared" si="0"/>
        <v>0</v>
      </c>
      <c r="H12" s="23"/>
      <c r="I12" s="95" t="s">
        <v>45</v>
      </c>
      <c r="J12" s="15">
        <f t="shared" si="1"/>
        <v>0</v>
      </c>
      <c r="K12" s="23"/>
      <c r="L12" s="95" t="s">
        <v>41</v>
      </c>
      <c r="M12" s="15">
        <f t="shared" si="2"/>
        <v>0</v>
      </c>
      <c r="N12" s="23"/>
      <c r="O12" s="95" t="s">
        <v>30</v>
      </c>
      <c r="P12" s="15">
        <f t="shared" si="3"/>
        <v>0</v>
      </c>
      <c r="Q12" s="94" t="s">
        <v>27</v>
      </c>
    </row>
    <row r="13" spans="1:17" x14ac:dyDescent="0.25">
      <c r="A13" s="89"/>
      <c r="B13" s="15" t="s">
        <v>43</v>
      </c>
      <c r="C13" s="15" t="s">
        <v>38</v>
      </c>
      <c r="D13" s="15"/>
      <c r="E13" s="23"/>
      <c r="F13" s="95" t="s">
        <v>46</v>
      </c>
      <c r="G13" s="15">
        <f t="shared" si="0"/>
        <v>0</v>
      </c>
      <c r="H13" s="23"/>
      <c r="I13" s="95" t="s">
        <v>47</v>
      </c>
      <c r="J13" s="15">
        <f t="shared" si="1"/>
        <v>0</v>
      </c>
      <c r="K13" s="23"/>
      <c r="L13" s="95" t="s">
        <v>35</v>
      </c>
      <c r="M13" s="15">
        <f t="shared" si="2"/>
        <v>0</v>
      </c>
      <c r="N13" s="23"/>
      <c r="O13" s="95" t="s">
        <v>48</v>
      </c>
      <c r="P13" s="15">
        <f t="shared" si="3"/>
        <v>0</v>
      </c>
      <c r="Q13" s="94" t="s">
        <v>27</v>
      </c>
    </row>
    <row r="14" spans="1:17" x14ac:dyDescent="0.25">
      <c r="A14" s="89"/>
      <c r="B14" s="15" t="s">
        <v>49</v>
      </c>
      <c r="C14" s="15" t="s">
        <v>33</v>
      </c>
      <c r="D14" s="15"/>
      <c r="E14" s="23"/>
      <c r="F14" s="95" t="s">
        <v>50</v>
      </c>
      <c r="G14" s="15">
        <f t="shared" si="0"/>
        <v>0</v>
      </c>
      <c r="H14" s="23"/>
      <c r="I14" s="95" t="s">
        <v>51</v>
      </c>
      <c r="J14" s="15">
        <f t="shared" si="1"/>
        <v>0</v>
      </c>
      <c r="K14" s="23"/>
      <c r="L14" s="95" t="s">
        <v>52</v>
      </c>
      <c r="M14" s="15">
        <f t="shared" si="2"/>
        <v>0</v>
      </c>
      <c r="N14" s="23"/>
      <c r="O14" s="95" t="s">
        <v>36</v>
      </c>
      <c r="P14" s="15">
        <f t="shared" si="3"/>
        <v>0</v>
      </c>
      <c r="Q14" s="94" t="s">
        <v>27</v>
      </c>
    </row>
    <row r="15" spans="1:17" x14ac:dyDescent="0.25">
      <c r="A15" s="89"/>
      <c r="B15" s="15" t="s">
        <v>49</v>
      </c>
      <c r="C15" s="15" t="s">
        <v>38</v>
      </c>
      <c r="D15" s="15"/>
      <c r="E15" s="23"/>
      <c r="F15" s="95" t="s">
        <v>53</v>
      </c>
      <c r="G15" s="15">
        <f t="shared" si="0"/>
        <v>0</v>
      </c>
      <c r="H15" s="23"/>
      <c r="I15" s="95" t="s">
        <v>54</v>
      </c>
      <c r="J15" s="15">
        <f t="shared" si="1"/>
        <v>0</v>
      </c>
      <c r="K15" s="23"/>
      <c r="L15" s="95" t="s">
        <v>55</v>
      </c>
      <c r="M15" s="15">
        <f t="shared" si="2"/>
        <v>0</v>
      </c>
      <c r="N15" s="23"/>
      <c r="O15" s="95" t="s">
        <v>35</v>
      </c>
      <c r="P15" s="15">
        <f t="shared" si="3"/>
        <v>0</v>
      </c>
      <c r="Q15" s="94" t="s">
        <v>27</v>
      </c>
    </row>
    <row r="16" spans="1:17" x14ac:dyDescent="0.25">
      <c r="A16" s="89"/>
      <c r="B16" s="15" t="s">
        <v>56</v>
      </c>
      <c r="C16" s="15" t="s">
        <v>33</v>
      </c>
      <c r="D16" s="15"/>
      <c r="E16" s="23"/>
      <c r="F16" s="95" t="s">
        <v>57</v>
      </c>
      <c r="G16" s="15">
        <f t="shared" si="0"/>
        <v>0</v>
      </c>
      <c r="H16" s="23"/>
      <c r="I16" s="95" t="s">
        <v>58</v>
      </c>
      <c r="J16" s="15">
        <f t="shared" si="1"/>
        <v>0</v>
      </c>
      <c r="K16" s="23"/>
      <c r="L16" s="95" t="s">
        <v>59</v>
      </c>
      <c r="M16" s="15">
        <f t="shared" si="2"/>
        <v>0</v>
      </c>
      <c r="N16" s="23"/>
      <c r="O16" s="95" t="s">
        <v>41</v>
      </c>
      <c r="P16" s="15">
        <f t="shared" si="3"/>
        <v>0</v>
      </c>
      <c r="Q16" s="94" t="s">
        <v>27</v>
      </c>
    </row>
    <row r="17" spans="1:17" x14ac:dyDescent="0.25">
      <c r="A17" s="89"/>
      <c r="B17" s="15" t="s">
        <v>56</v>
      </c>
      <c r="C17" s="15" t="s">
        <v>38</v>
      </c>
      <c r="D17" s="15"/>
      <c r="E17" s="23"/>
      <c r="F17" s="95" t="s">
        <v>60</v>
      </c>
      <c r="G17" s="15">
        <f t="shared" si="0"/>
        <v>0</v>
      </c>
      <c r="H17" s="23"/>
      <c r="I17" s="95" t="s">
        <v>54</v>
      </c>
      <c r="J17" s="15">
        <f t="shared" si="1"/>
        <v>0</v>
      </c>
      <c r="K17" s="23"/>
      <c r="L17" s="95" t="s">
        <v>55</v>
      </c>
      <c r="M17" s="15">
        <f t="shared" si="2"/>
        <v>0</v>
      </c>
      <c r="N17" s="23"/>
      <c r="O17" s="95" t="s">
        <v>29</v>
      </c>
      <c r="P17" s="15">
        <f t="shared" si="3"/>
        <v>0</v>
      </c>
      <c r="Q17" s="94" t="s">
        <v>27</v>
      </c>
    </row>
    <row r="18" spans="1:17" x14ac:dyDescent="0.25">
      <c r="A18" s="89"/>
      <c r="B18" s="15" t="s">
        <v>61</v>
      </c>
      <c r="C18" s="15" t="s">
        <v>33</v>
      </c>
      <c r="D18" s="15"/>
      <c r="E18" s="23"/>
      <c r="F18" s="95" t="s">
        <v>62</v>
      </c>
      <c r="G18" s="15">
        <f t="shared" si="0"/>
        <v>0</v>
      </c>
      <c r="H18" s="23"/>
      <c r="I18" s="95" t="s">
        <v>47</v>
      </c>
      <c r="J18" s="15">
        <f t="shared" si="1"/>
        <v>0</v>
      </c>
      <c r="K18" s="23"/>
      <c r="L18" s="95" t="s">
        <v>40</v>
      </c>
      <c r="M18" s="15">
        <f t="shared" si="2"/>
        <v>0</v>
      </c>
      <c r="N18" s="23"/>
      <c r="O18" s="95" t="s">
        <v>52</v>
      </c>
      <c r="P18" s="15">
        <f t="shared" si="3"/>
        <v>0</v>
      </c>
      <c r="Q18" s="94" t="s">
        <v>27</v>
      </c>
    </row>
    <row r="19" spans="1:17" x14ac:dyDescent="0.25">
      <c r="A19" s="89"/>
      <c r="B19" s="15" t="s">
        <v>61</v>
      </c>
      <c r="C19" s="15" t="s">
        <v>38</v>
      </c>
      <c r="D19" s="15"/>
      <c r="E19" s="23"/>
      <c r="F19" s="95" t="s">
        <v>53</v>
      </c>
      <c r="G19" s="15">
        <f t="shared" si="0"/>
        <v>0</v>
      </c>
      <c r="H19" s="23"/>
      <c r="I19" s="95" t="s">
        <v>39</v>
      </c>
      <c r="J19" s="15">
        <f t="shared" si="1"/>
        <v>0</v>
      </c>
      <c r="K19" s="23"/>
      <c r="L19" s="95" t="s">
        <v>45</v>
      </c>
      <c r="M19" s="15">
        <f t="shared" si="2"/>
        <v>0</v>
      </c>
      <c r="N19" s="23"/>
      <c r="O19" s="95" t="s">
        <v>35</v>
      </c>
      <c r="P19" s="15">
        <f t="shared" si="3"/>
        <v>0</v>
      </c>
      <c r="Q19" s="94" t="s">
        <v>27</v>
      </c>
    </row>
    <row r="20" spans="1:17" x14ac:dyDescent="0.25">
      <c r="A20" s="89"/>
      <c r="B20" s="15" t="s">
        <v>63</v>
      </c>
      <c r="C20" s="15" t="s">
        <v>33</v>
      </c>
      <c r="D20" s="15"/>
      <c r="E20" s="23"/>
      <c r="F20" s="95" t="s">
        <v>64</v>
      </c>
      <c r="G20" s="15">
        <f t="shared" si="0"/>
        <v>0</v>
      </c>
      <c r="H20" s="23"/>
      <c r="I20" s="95" t="s">
        <v>39</v>
      </c>
      <c r="J20" s="15">
        <f t="shared" si="1"/>
        <v>0</v>
      </c>
      <c r="K20" s="23"/>
      <c r="L20" s="95" t="s">
        <v>51</v>
      </c>
      <c r="M20" s="15">
        <f t="shared" si="2"/>
        <v>0</v>
      </c>
      <c r="N20" s="23"/>
      <c r="O20" s="95" t="s">
        <v>55</v>
      </c>
      <c r="P20" s="15">
        <f t="shared" si="3"/>
        <v>0</v>
      </c>
      <c r="Q20" s="94" t="s">
        <v>27</v>
      </c>
    </row>
    <row r="21" spans="1:17" x14ac:dyDescent="0.25">
      <c r="A21" s="89"/>
      <c r="B21" s="15" t="s">
        <v>63</v>
      </c>
      <c r="C21" s="15" t="s">
        <v>38</v>
      </c>
      <c r="D21" s="15"/>
      <c r="E21" s="23"/>
      <c r="F21" s="95" t="s">
        <v>65</v>
      </c>
      <c r="G21" s="15">
        <f t="shared" si="0"/>
        <v>0</v>
      </c>
      <c r="H21" s="23"/>
      <c r="I21" s="95" t="s">
        <v>50</v>
      </c>
      <c r="J21" s="15">
        <f t="shared" si="1"/>
        <v>0</v>
      </c>
      <c r="K21" s="23"/>
      <c r="L21" s="95" t="s">
        <v>47</v>
      </c>
      <c r="M21" s="15">
        <f t="shared" si="2"/>
        <v>0</v>
      </c>
      <c r="N21" s="23"/>
      <c r="O21" s="95" t="s">
        <v>45</v>
      </c>
      <c r="P21" s="15">
        <f t="shared" si="3"/>
        <v>0</v>
      </c>
      <c r="Q21" s="94" t="s">
        <v>27</v>
      </c>
    </row>
    <row r="22" spans="1:17" x14ac:dyDescent="0.25">
      <c r="A22" s="89"/>
      <c r="B22" s="15" t="s">
        <v>66</v>
      </c>
      <c r="C22" s="15" t="s">
        <v>33</v>
      </c>
      <c r="D22" s="15"/>
      <c r="E22" s="23"/>
      <c r="F22" s="95" t="s">
        <v>60</v>
      </c>
      <c r="G22" s="15">
        <f t="shared" si="0"/>
        <v>0</v>
      </c>
      <c r="H22" s="23"/>
      <c r="I22" s="95" t="s">
        <v>67</v>
      </c>
      <c r="J22" s="15">
        <f t="shared" si="1"/>
        <v>0</v>
      </c>
      <c r="K22" s="23"/>
      <c r="L22" s="95" t="s">
        <v>58</v>
      </c>
      <c r="M22" s="15">
        <f t="shared" si="2"/>
        <v>0</v>
      </c>
      <c r="N22" s="23"/>
      <c r="O22" s="95" t="s">
        <v>45</v>
      </c>
      <c r="P22" s="15">
        <f t="shared" si="3"/>
        <v>0</v>
      </c>
      <c r="Q22" s="94" t="s">
        <v>27</v>
      </c>
    </row>
    <row r="23" spans="1:17" x14ac:dyDescent="0.25">
      <c r="A23" s="89"/>
      <c r="B23" s="15" t="s">
        <v>66</v>
      </c>
      <c r="C23" s="15" t="s">
        <v>38</v>
      </c>
      <c r="D23" s="15"/>
      <c r="E23" s="23"/>
      <c r="F23" s="95" t="s">
        <v>68</v>
      </c>
      <c r="G23" s="15">
        <f t="shared" si="0"/>
        <v>0</v>
      </c>
      <c r="H23" s="23"/>
      <c r="I23" s="95" t="s">
        <v>57</v>
      </c>
      <c r="J23" s="15">
        <f t="shared" si="1"/>
        <v>0</v>
      </c>
      <c r="K23" s="23"/>
      <c r="L23" s="95" t="s">
        <v>28</v>
      </c>
      <c r="M23" s="15">
        <f t="shared" si="2"/>
        <v>0</v>
      </c>
      <c r="N23" s="23"/>
      <c r="O23" s="95" t="s">
        <v>51</v>
      </c>
      <c r="P23" s="15">
        <f t="shared" si="3"/>
        <v>0</v>
      </c>
      <c r="Q23" s="94" t="s">
        <v>27</v>
      </c>
    </row>
    <row r="24" spans="1:17" x14ac:dyDescent="0.25">
      <c r="A24" s="89" t="s">
        <v>69</v>
      </c>
      <c r="B24" s="15" t="s">
        <v>43</v>
      </c>
      <c r="C24" s="15" t="s">
        <v>33</v>
      </c>
      <c r="D24" s="15"/>
      <c r="E24" s="23"/>
      <c r="F24" s="95" t="s">
        <v>60</v>
      </c>
      <c r="G24" s="15">
        <f t="shared" si="0"/>
        <v>0</v>
      </c>
      <c r="H24" s="23"/>
      <c r="I24" s="95" t="s">
        <v>34</v>
      </c>
      <c r="J24" s="15">
        <f t="shared" si="1"/>
        <v>0</v>
      </c>
      <c r="K24" s="23"/>
      <c r="L24" s="96" t="s">
        <v>59</v>
      </c>
      <c r="M24" s="15">
        <f t="shared" si="2"/>
        <v>0</v>
      </c>
      <c r="N24" s="23"/>
      <c r="O24" s="95" t="s">
        <v>41</v>
      </c>
      <c r="P24" s="15">
        <f t="shared" si="3"/>
        <v>0</v>
      </c>
      <c r="Q24" s="94" t="s">
        <v>27</v>
      </c>
    </row>
    <row r="25" spans="1:17" x14ac:dyDescent="0.25">
      <c r="A25" s="89"/>
      <c r="B25" s="15" t="s">
        <v>43</v>
      </c>
      <c r="C25" s="15" t="s">
        <v>38</v>
      </c>
      <c r="D25" s="15"/>
      <c r="E25" s="23"/>
      <c r="F25" s="95" t="s">
        <v>70</v>
      </c>
      <c r="G25" s="15">
        <f t="shared" si="0"/>
        <v>0</v>
      </c>
      <c r="H25" s="23"/>
      <c r="I25" s="95" t="s">
        <v>54</v>
      </c>
      <c r="J25" s="15">
        <f t="shared" si="1"/>
        <v>0</v>
      </c>
      <c r="K25" s="23"/>
      <c r="L25" s="96" t="s">
        <v>40</v>
      </c>
      <c r="M25" s="15">
        <f t="shared" si="2"/>
        <v>0</v>
      </c>
      <c r="N25" s="23"/>
      <c r="O25" s="95" t="s">
        <v>52</v>
      </c>
      <c r="P25" s="15">
        <f t="shared" si="3"/>
        <v>0</v>
      </c>
      <c r="Q25" s="94" t="s">
        <v>27</v>
      </c>
    </row>
    <row r="26" spans="1:17" x14ac:dyDescent="0.25">
      <c r="A26" s="89"/>
      <c r="B26" s="15" t="s">
        <v>49</v>
      </c>
      <c r="C26" s="15" t="s">
        <v>33</v>
      </c>
      <c r="D26" s="15"/>
      <c r="E26" s="23"/>
      <c r="F26" s="95" t="s">
        <v>53</v>
      </c>
      <c r="G26" s="15">
        <f t="shared" si="0"/>
        <v>0</v>
      </c>
      <c r="H26" s="23"/>
      <c r="I26" s="95" t="s">
        <v>54</v>
      </c>
      <c r="J26" s="15">
        <f t="shared" si="1"/>
        <v>0</v>
      </c>
      <c r="K26" s="23"/>
      <c r="L26" s="95" t="s">
        <v>40</v>
      </c>
      <c r="M26" s="15">
        <f t="shared" si="2"/>
        <v>0</v>
      </c>
      <c r="N26" s="23"/>
      <c r="O26" s="95" t="s">
        <v>29</v>
      </c>
      <c r="P26" s="15">
        <f t="shared" si="3"/>
        <v>0</v>
      </c>
      <c r="Q26" s="94" t="s">
        <v>27</v>
      </c>
    </row>
    <row r="27" spans="1:17" x14ac:dyDescent="0.25">
      <c r="A27" s="89"/>
      <c r="B27" s="15" t="s">
        <v>49</v>
      </c>
      <c r="C27" s="15" t="s">
        <v>38</v>
      </c>
      <c r="D27" s="15"/>
      <c r="E27" s="23"/>
      <c r="F27" s="95" t="s">
        <v>71</v>
      </c>
      <c r="G27" s="15">
        <f t="shared" si="0"/>
        <v>0</v>
      </c>
      <c r="H27" s="23"/>
      <c r="I27" s="95" t="s">
        <v>44</v>
      </c>
      <c r="J27" s="15">
        <f t="shared" si="1"/>
        <v>0</v>
      </c>
      <c r="K27" s="23"/>
      <c r="L27" s="95" t="s">
        <v>51</v>
      </c>
      <c r="M27" s="15">
        <f t="shared" si="2"/>
        <v>0</v>
      </c>
      <c r="N27" s="23"/>
      <c r="O27" s="95" t="s">
        <v>59</v>
      </c>
      <c r="P27" s="15">
        <f t="shared" si="3"/>
        <v>0</v>
      </c>
      <c r="Q27" s="94" t="s">
        <v>27</v>
      </c>
    </row>
    <row r="28" spans="1:17" x14ac:dyDescent="0.25">
      <c r="A28" s="89"/>
      <c r="B28" s="15" t="s">
        <v>56</v>
      </c>
      <c r="C28" s="15" t="s">
        <v>33</v>
      </c>
      <c r="D28" s="15"/>
      <c r="E28" s="23"/>
      <c r="F28" s="95" t="s">
        <v>70</v>
      </c>
      <c r="G28" s="15">
        <f t="shared" si="0"/>
        <v>0</v>
      </c>
      <c r="H28" s="23"/>
      <c r="I28" s="95" t="s">
        <v>39</v>
      </c>
      <c r="J28" s="15">
        <f t="shared" si="1"/>
        <v>0</v>
      </c>
      <c r="K28" s="23"/>
      <c r="L28" s="95" t="s">
        <v>55</v>
      </c>
      <c r="M28" s="15">
        <f t="shared" si="2"/>
        <v>0</v>
      </c>
      <c r="N28" s="23"/>
      <c r="O28" s="95" t="s">
        <v>35</v>
      </c>
      <c r="P28" s="15">
        <f t="shared" si="3"/>
        <v>0</v>
      </c>
      <c r="Q28" s="94" t="s">
        <v>27</v>
      </c>
    </row>
    <row r="29" spans="1:17" x14ac:dyDescent="0.25">
      <c r="A29" s="89"/>
      <c r="B29" s="15" t="s">
        <v>56</v>
      </c>
      <c r="C29" s="15" t="s">
        <v>38</v>
      </c>
      <c r="D29" s="15"/>
      <c r="E29" s="23"/>
      <c r="F29" s="95" t="s">
        <v>68</v>
      </c>
      <c r="G29" s="15">
        <f t="shared" si="0"/>
        <v>0</v>
      </c>
      <c r="H29" s="23"/>
      <c r="I29" s="95" t="s">
        <v>67</v>
      </c>
      <c r="J29" s="15">
        <f t="shared" si="1"/>
        <v>0</v>
      </c>
      <c r="K29" s="23"/>
      <c r="L29" s="95" t="s">
        <v>45</v>
      </c>
      <c r="M29" s="15">
        <f t="shared" si="2"/>
        <v>0</v>
      </c>
      <c r="N29" s="23"/>
      <c r="O29" s="95" t="s">
        <v>59</v>
      </c>
      <c r="P29" s="15">
        <f t="shared" si="3"/>
        <v>0</v>
      </c>
      <c r="Q29" s="94" t="s">
        <v>27</v>
      </c>
    </row>
    <row r="30" spans="1:17" x14ac:dyDescent="0.25">
      <c r="A30" s="89"/>
      <c r="B30" s="15" t="s">
        <v>61</v>
      </c>
      <c r="C30" s="15" t="s">
        <v>33</v>
      </c>
      <c r="D30" s="15"/>
      <c r="E30" s="23"/>
      <c r="F30" s="95" t="s">
        <v>65</v>
      </c>
      <c r="G30" s="15">
        <f t="shared" si="0"/>
        <v>0</v>
      </c>
      <c r="H30" s="23"/>
      <c r="I30" s="95" t="s">
        <v>67</v>
      </c>
      <c r="J30" s="15">
        <f t="shared" si="1"/>
        <v>0</v>
      </c>
      <c r="K30" s="23"/>
      <c r="L30" s="95" t="s">
        <v>45</v>
      </c>
      <c r="M30" s="15">
        <f t="shared" si="2"/>
        <v>0</v>
      </c>
      <c r="N30" s="23"/>
      <c r="O30" s="95" t="s">
        <v>59</v>
      </c>
      <c r="P30" s="15">
        <f t="shared" si="3"/>
        <v>0</v>
      </c>
      <c r="Q30" s="94" t="s">
        <v>27</v>
      </c>
    </row>
    <row r="31" spans="1:17" x14ac:dyDescent="0.25">
      <c r="A31" s="89"/>
      <c r="B31" s="15" t="s">
        <v>61</v>
      </c>
      <c r="C31" s="15" t="s">
        <v>38</v>
      </c>
      <c r="D31" s="15"/>
      <c r="E31" s="23"/>
      <c r="F31" s="95" t="s">
        <v>71</v>
      </c>
      <c r="G31" s="15">
        <f t="shared" si="0"/>
        <v>0</v>
      </c>
      <c r="H31" s="23"/>
      <c r="I31" s="95" t="s">
        <v>44</v>
      </c>
      <c r="J31" s="15">
        <f t="shared" si="1"/>
        <v>0</v>
      </c>
      <c r="K31" s="23"/>
      <c r="L31" s="95" t="s">
        <v>51</v>
      </c>
      <c r="M31" s="15">
        <f t="shared" si="2"/>
        <v>0</v>
      </c>
      <c r="N31" s="23"/>
      <c r="O31" s="95" t="s">
        <v>40</v>
      </c>
      <c r="P31" s="15">
        <f t="shared" si="3"/>
        <v>0</v>
      </c>
      <c r="Q31" s="94" t="s">
        <v>27</v>
      </c>
    </row>
    <row r="32" spans="1:17" x14ac:dyDescent="0.25">
      <c r="A32" s="89"/>
      <c r="B32" s="15" t="s">
        <v>63</v>
      </c>
      <c r="C32" s="15" t="s">
        <v>33</v>
      </c>
      <c r="D32" s="15"/>
      <c r="E32" s="23"/>
      <c r="F32" s="95" t="s">
        <v>68</v>
      </c>
      <c r="G32" s="15">
        <f t="shared" si="0"/>
        <v>0</v>
      </c>
      <c r="H32" s="23"/>
      <c r="I32" s="95" t="s">
        <v>44</v>
      </c>
      <c r="J32" s="15">
        <f t="shared" si="1"/>
        <v>0</v>
      </c>
      <c r="K32" s="23"/>
      <c r="L32" s="95" t="s">
        <v>58</v>
      </c>
      <c r="M32" s="15">
        <f t="shared" si="2"/>
        <v>0</v>
      </c>
      <c r="N32" s="23"/>
      <c r="O32" s="95" t="s">
        <v>55</v>
      </c>
      <c r="P32" s="15">
        <f t="shared" si="3"/>
        <v>0</v>
      </c>
      <c r="Q32" s="94" t="s">
        <v>27</v>
      </c>
    </row>
    <row r="33" spans="1:17" x14ac:dyDescent="0.25">
      <c r="A33" s="89"/>
      <c r="B33" s="15" t="s">
        <v>72</v>
      </c>
      <c r="C33" s="15" t="s">
        <v>38</v>
      </c>
      <c r="D33" s="15"/>
      <c r="E33" s="23"/>
      <c r="F33" s="95" t="s">
        <v>73</v>
      </c>
      <c r="G33" s="15">
        <f t="shared" si="0"/>
        <v>0</v>
      </c>
      <c r="H33" s="23"/>
      <c r="I33" s="95" t="s">
        <v>57</v>
      </c>
      <c r="J33" s="15">
        <f t="shared" si="1"/>
        <v>0</v>
      </c>
      <c r="K33" s="23"/>
      <c r="L33" s="95" t="s">
        <v>47</v>
      </c>
      <c r="M33" s="15">
        <f t="shared" si="2"/>
        <v>0</v>
      </c>
      <c r="N33" s="23"/>
      <c r="O33" s="95" t="s">
        <v>45</v>
      </c>
      <c r="P33" s="15">
        <f t="shared" si="3"/>
        <v>0</v>
      </c>
      <c r="Q33" s="94" t="s">
        <v>27</v>
      </c>
    </row>
    <row r="34" spans="1:17" x14ac:dyDescent="0.25">
      <c r="A34" s="89"/>
      <c r="B34" s="15" t="s">
        <v>66</v>
      </c>
      <c r="C34" s="15" t="s">
        <v>33</v>
      </c>
      <c r="D34" s="15"/>
      <c r="E34" s="23"/>
      <c r="F34" s="95" t="s">
        <v>71</v>
      </c>
      <c r="G34" s="15">
        <f t="shared" si="0"/>
        <v>0</v>
      </c>
      <c r="H34" s="23"/>
      <c r="I34" s="95" t="s">
        <v>50</v>
      </c>
      <c r="J34" s="15">
        <f t="shared" si="1"/>
        <v>0</v>
      </c>
      <c r="K34" s="23"/>
      <c r="L34" s="95" t="s">
        <v>47</v>
      </c>
      <c r="M34" s="15">
        <f t="shared" si="2"/>
        <v>0</v>
      </c>
      <c r="N34" s="23"/>
      <c r="O34" s="95" t="s">
        <v>45</v>
      </c>
      <c r="P34" s="15">
        <f t="shared" si="3"/>
        <v>0</v>
      </c>
      <c r="Q34" s="94" t="s">
        <v>27</v>
      </c>
    </row>
    <row r="35" spans="1:17" x14ac:dyDescent="0.25">
      <c r="A35" s="89"/>
      <c r="B35" s="15" t="s">
        <v>66</v>
      </c>
      <c r="C35" s="15" t="s">
        <v>38</v>
      </c>
      <c r="D35" s="15"/>
      <c r="E35" s="23"/>
      <c r="F35" s="95" t="s">
        <v>74</v>
      </c>
      <c r="G35" s="15">
        <f t="shared" si="0"/>
        <v>0</v>
      </c>
      <c r="H35" s="23"/>
      <c r="I35" s="95" t="s">
        <v>62</v>
      </c>
      <c r="J35" s="15">
        <f t="shared" si="1"/>
        <v>0</v>
      </c>
      <c r="K35" s="23"/>
      <c r="L35" s="95" t="s">
        <v>28</v>
      </c>
      <c r="M35" s="15">
        <f t="shared" si="2"/>
        <v>0</v>
      </c>
      <c r="N35" s="23"/>
      <c r="O35" s="95" t="s">
        <v>51</v>
      </c>
      <c r="P35" s="15">
        <f t="shared" si="3"/>
        <v>0</v>
      </c>
      <c r="Q35" s="94" t="s">
        <v>27</v>
      </c>
    </row>
    <row r="36" spans="1:17" x14ac:dyDescent="0.25">
      <c r="A36" s="89" t="s">
        <v>75</v>
      </c>
      <c r="B36" s="15" t="s">
        <v>76</v>
      </c>
      <c r="C36" s="15" t="s">
        <v>33</v>
      </c>
      <c r="D36" s="15"/>
      <c r="E36" s="23"/>
      <c r="F36" s="95" t="s">
        <v>64</v>
      </c>
      <c r="G36" s="15">
        <f t="shared" si="0"/>
        <v>0</v>
      </c>
      <c r="H36" s="23"/>
      <c r="I36" s="95" t="s">
        <v>28</v>
      </c>
      <c r="J36" s="15">
        <f t="shared" si="1"/>
        <v>0</v>
      </c>
      <c r="K36" s="23"/>
      <c r="L36" s="95" t="s">
        <v>35</v>
      </c>
      <c r="M36" s="15">
        <f t="shared" si="2"/>
        <v>0</v>
      </c>
      <c r="N36" s="23"/>
      <c r="O36" s="95" t="s">
        <v>48</v>
      </c>
      <c r="P36" s="15">
        <f t="shared" si="3"/>
        <v>0</v>
      </c>
      <c r="Q36" s="94" t="s">
        <v>27</v>
      </c>
    </row>
    <row r="37" spans="1:17" x14ac:dyDescent="0.25">
      <c r="A37" s="89" t="s">
        <v>77</v>
      </c>
      <c r="B37" s="15" t="s">
        <v>76</v>
      </c>
      <c r="C37" s="15" t="s">
        <v>38</v>
      </c>
      <c r="D37" s="15"/>
      <c r="E37" s="23"/>
      <c r="F37" s="95" t="s">
        <v>74</v>
      </c>
      <c r="G37" s="15">
        <f t="shared" si="0"/>
        <v>0</v>
      </c>
      <c r="H37" s="23"/>
      <c r="I37" s="95" t="s">
        <v>44</v>
      </c>
      <c r="J37" s="15">
        <f t="shared" si="1"/>
        <v>0</v>
      </c>
      <c r="K37" s="23"/>
      <c r="L37" s="95" t="s">
        <v>45</v>
      </c>
      <c r="M37" s="15">
        <f t="shared" si="2"/>
        <v>0</v>
      </c>
      <c r="N37" s="23"/>
      <c r="O37" s="95" t="s">
        <v>35</v>
      </c>
      <c r="P37" s="15">
        <f t="shared" si="3"/>
        <v>0</v>
      </c>
      <c r="Q37" s="94" t="s">
        <v>27</v>
      </c>
    </row>
    <row r="38" spans="1:17" x14ac:dyDescent="0.25">
      <c r="A38" s="89" t="s">
        <v>78</v>
      </c>
      <c r="B38" s="15" t="s">
        <v>79</v>
      </c>
      <c r="C38" s="15" t="s">
        <v>33</v>
      </c>
      <c r="D38" s="15"/>
      <c r="E38" s="23"/>
      <c r="F38" s="95" t="s">
        <v>53</v>
      </c>
      <c r="G38" s="15">
        <f t="shared" si="0"/>
        <v>0</v>
      </c>
      <c r="H38" s="23"/>
      <c r="I38" s="95" t="s">
        <v>54</v>
      </c>
      <c r="J38" s="15">
        <f t="shared" si="1"/>
        <v>0</v>
      </c>
      <c r="K38" s="23"/>
      <c r="L38" s="95" t="s">
        <v>40</v>
      </c>
      <c r="M38" s="15">
        <f t="shared" si="2"/>
        <v>0</v>
      </c>
      <c r="N38" s="23"/>
      <c r="O38" s="95" t="s">
        <v>35</v>
      </c>
      <c r="P38" s="15">
        <f t="shared" si="3"/>
        <v>0</v>
      </c>
      <c r="Q38" s="94" t="s">
        <v>27</v>
      </c>
    </row>
    <row r="39" spans="1:17" x14ac:dyDescent="0.25">
      <c r="A39" s="89" t="s">
        <v>80</v>
      </c>
      <c r="B39" s="15" t="s">
        <v>79</v>
      </c>
      <c r="C39" s="15" t="s">
        <v>38</v>
      </c>
      <c r="D39" s="15"/>
      <c r="E39" s="23"/>
      <c r="F39" s="95" t="s">
        <v>81</v>
      </c>
      <c r="G39" s="15">
        <f t="shared" si="0"/>
        <v>0</v>
      </c>
      <c r="H39" s="23"/>
      <c r="I39" s="95" t="s">
        <v>62</v>
      </c>
      <c r="J39" s="15">
        <f t="shared" si="1"/>
        <v>0</v>
      </c>
      <c r="K39" s="23"/>
      <c r="L39" s="95" t="s">
        <v>47</v>
      </c>
      <c r="M39" s="15">
        <f t="shared" si="2"/>
        <v>0</v>
      </c>
      <c r="N39" s="23"/>
      <c r="O39" s="95" t="s">
        <v>40</v>
      </c>
      <c r="P39" s="15">
        <f t="shared" si="3"/>
        <v>0</v>
      </c>
      <c r="Q39" s="94" t="s">
        <v>27</v>
      </c>
    </row>
    <row r="40" spans="1:17" x14ac:dyDescent="0.25">
      <c r="A40" s="89" t="s">
        <v>82</v>
      </c>
      <c r="B40" s="15" t="s">
        <v>83</v>
      </c>
      <c r="C40" s="15" t="s">
        <v>33</v>
      </c>
      <c r="D40" s="15"/>
      <c r="E40" s="23"/>
      <c r="F40" s="95" t="s">
        <v>70</v>
      </c>
      <c r="G40" s="15">
        <f t="shared" si="0"/>
        <v>0</v>
      </c>
      <c r="H40" s="23"/>
      <c r="I40" s="95" t="s">
        <v>67</v>
      </c>
      <c r="J40" s="15">
        <f t="shared" si="1"/>
        <v>0</v>
      </c>
      <c r="K40" s="23"/>
      <c r="L40" s="95" t="s">
        <v>51</v>
      </c>
      <c r="M40" s="15">
        <f t="shared" si="2"/>
        <v>0</v>
      </c>
      <c r="N40" s="23"/>
      <c r="O40" s="95" t="s">
        <v>40</v>
      </c>
      <c r="P40" s="15">
        <f t="shared" si="3"/>
        <v>0</v>
      </c>
      <c r="Q40" s="94" t="s">
        <v>27</v>
      </c>
    </row>
    <row r="41" spans="1:17" ht="15.75" thickBot="1" x14ac:dyDescent="0.3">
      <c r="A41" s="89"/>
      <c r="B41" s="15" t="s">
        <v>83</v>
      </c>
      <c r="C41" s="15" t="s">
        <v>38</v>
      </c>
      <c r="D41" s="15"/>
      <c r="E41" s="24"/>
      <c r="F41" s="97" t="s">
        <v>84</v>
      </c>
      <c r="G41" s="15">
        <f t="shared" si="0"/>
        <v>0</v>
      </c>
      <c r="H41" s="24"/>
      <c r="I41" s="97" t="s">
        <v>46</v>
      </c>
      <c r="J41" s="15">
        <f t="shared" si="1"/>
        <v>0</v>
      </c>
      <c r="K41" s="24"/>
      <c r="L41" s="97" t="s">
        <v>34</v>
      </c>
      <c r="M41" s="15">
        <f t="shared" si="2"/>
        <v>0</v>
      </c>
      <c r="N41" s="24"/>
      <c r="O41" s="97" t="s">
        <v>51</v>
      </c>
      <c r="P41" s="15">
        <f t="shared" si="3"/>
        <v>0</v>
      </c>
      <c r="Q41" s="94" t="s">
        <v>27</v>
      </c>
    </row>
    <row r="42" spans="1:17" x14ac:dyDescent="0.25">
      <c r="A42" s="89"/>
      <c r="B42" s="15"/>
      <c r="C42" s="15"/>
      <c r="D42" s="15"/>
      <c r="E42" s="98"/>
      <c r="F42" s="99"/>
      <c r="G42" s="100"/>
      <c r="H42" s="98"/>
      <c r="I42" s="99"/>
      <c r="J42" s="100"/>
      <c r="K42" s="98"/>
      <c r="L42" s="99"/>
      <c r="M42" s="100"/>
      <c r="N42" s="98"/>
      <c r="O42" s="99"/>
      <c r="P42" s="15"/>
      <c r="Q42" s="94"/>
    </row>
    <row r="43" spans="1:17" ht="15.75" thickBot="1" x14ac:dyDescent="0.3">
      <c r="A43" s="15" t="s">
        <v>149</v>
      </c>
      <c r="B43" s="89"/>
      <c r="C43" s="89"/>
      <c r="D43" s="89"/>
      <c r="E43" s="101"/>
      <c r="F43" s="19" t="s">
        <v>23</v>
      </c>
      <c r="G43" s="18"/>
      <c r="H43" s="101"/>
      <c r="I43" s="19"/>
      <c r="J43" s="18"/>
      <c r="K43" s="101"/>
      <c r="L43" s="19"/>
      <c r="M43" s="18"/>
      <c r="N43" s="101"/>
      <c r="O43" s="19" t="s">
        <v>23</v>
      </c>
      <c r="P43" s="15"/>
      <c r="Q43" s="94"/>
    </row>
    <row r="44" spans="1:17" x14ac:dyDescent="0.25">
      <c r="A44" s="89"/>
      <c r="B44" s="15" t="s">
        <v>85</v>
      </c>
      <c r="C44" s="15" t="s">
        <v>33</v>
      </c>
      <c r="D44" s="15"/>
      <c r="E44" s="22"/>
      <c r="F44" s="93" t="s">
        <v>86</v>
      </c>
      <c r="G44" s="15">
        <f t="shared" ref="G44:G57" si="4">ROUND(IF(AND(E44&gt;0,E44&lt;10000),E44*F44,0),2)</f>
        <v>0</v>
      </c>
      <c r="H44" s="22"/>
      <c r="I44" s="93" t="s">
        <v>58</v>
      </c>
      <c r="J44" s="15">
        <f t="shared" ref="J44:J57" si="5">ROUND(IF(AND(H44&gt;0,H44&lt;10000),H44*I44,0),2)</f>
        <v>0</v>
      </c>
      <c r="K44" s="22"/>
      <c r="L44" s="93" t="s">
        <v>29</v>
      </c>
      <c r="M44" s="15">
        <f t="shared" ref="M44:M57" si="6">ROUND(IF(AND(K44&gt;0,K44&lt;10000),K44*L44,0),2)</f>
        <v>0</v>
      </c>
      <c r="N44" s="22"/>
      <c r="O44" s="93" t="s">
        <v>48</v>
      </c>
      <c r="P44" s="15">
        <f t="shared" ref="P44:P57" si="7">ROUND(IF(AND(N44&gt;0,N44&lt;10000),N44*O44,0),2)</f>
        <v>0</v>
      </c>
      <c r="Q44" s="94" t="s">
        <v>27</v>
      </c>
    </row>
    <row r="45" spans="1:17" x14ac:dyDescent="0.25">
      <c r="A45" s="89"/>
      <c r="B45" s="15" t="s">
        <v>87</v>
      </c>
      <c r="C45" s="15" t="s">
        <v>88</v>
      </c>
      <c r="D45" s="15"/>
      <c r="E45" s="23"/>
      <c r="F45" s="95" t="s">
        <v>89</v>
      </c>
      <c r="G45" s="15">
        <f t="shared" si="4"/>
        <v>0</v>
      </c>
      <c r="H45" s="23"/>
      <c r="I45" s="95" t="s">
        <v>62</v>
      </c>
      <c r="J45" s="15">
        <f t="shared" si="5"/>
        <v>0</v>
      </c>
      <c r="K45" s="23"/>
      <c r="L45" s="95" t="s">
        <v>58</v>
      </c>
      <c r="M45" s="15">
        <f t="shared" si="6"/>
        <v>0</v>
      </c>
      <c r="N45" s="23"/>
      <c r="O45" s="95" t="s">
        <v>59</v>
      </c>
      <c r="P45" s="15">
        <f t="shared" si="7"/>
        <v>0</v>
      </c>
      <c r="Q45" s="94" t="s">
        <v>27</v>
      </c>
    </row>
    <row r="46" spans="1:17" x14ac:dyDescent="0.25">
      <c r="A46" s="89"/>
      <c r="B46" s="15" t="s">
        <v>87</v>
      </c>
      <c r="C46" s="15" t="s">
        <v>38</v>
      </c>
      <c r="D46" s="15"/>
      <c r="E46" s="23"/>
      <c r="F46" s="95" t="s">
        <v>90</v>
      </c>
      <c r="G46" s="15">
        <f t="shared" si="4"/>
        <v>0</v>
      </c>
      <c r="H46" s="23"/>
      <c r="I46" s="95" t="s">
        <v>68</v>
      </c>
      <c r="J46" s="15">
        <f t="shared" si="5"/>
        <v>0</v>
      </c>
      <c r="K46" s="23"/>
      <c r="L46" s="95" t="s">
        <v>39</v>
      </c>
      <c r="M46" s="15">
        <f t="shared" si="6"/>
        <v>0</v>
      </c>
      <c r="N46" s="23"/>
      <c r="O46" s="95" t="s">
        <v>51</v>
      </c>
      <c r="P46" s="15">
        <f t="shared" si="7"/>
        <v>0</v>
      </c>
      <c r="Q46" s="94" t="s">
        <v>27</v>
      </c>
    </row>
    <row r="47" spans="1:17" x14ac:dyDescent="0.25">
      <c r="A47" s="89"/>
      <c r="B47" s="15" t="s">
        <v>91</v>
      </c>
      <c r="C47" s="15" t="s">
        <v>26</v>
      </c>
      <c r="D47" s="15"/>
      <c r="E47" s="23"/>
      <c r="F47" s="95" t="s">
        <v>92</v>
      </c>
      <c r="G47" s="15">
        <f t="shared" si="4"/>
        <v>0</v>
      </c>
      <c r="H47" s="23"/>
      <c r="I47" s="95" t="s">
        <v>74</v>
      </c>
      <c r="J47" s="15">
        <f t="shared" si="5"/>
        <v>0</v>
      </c>
      <c r="K47" s="23"/>
      <c r="L47" s="95" t="s">
        <v>50</v>
      </c>
      <c r="M47" s="15">
        <f t="shared" si="6"/>
        <v>0</v>
      </c>
      <c r="N47" s="23"/>
      <c r="O47" s="95" t="s">
        <v>47</v>
      </c>
      <c r="P47" s="15">
        <f t="shared" si="7"/>
        <v>0</v>
      </c>
      <c r="Q47" s="94" t="s">
        <v>27</v>
      </c>
    </row>
    <row r="48" spans="1:17" x14ac:dyDescent="0.25">
      <c r="A48" s="89"/>
      <c r="B48" s="15" t="s">
        <v>93</v>
      </c>
      <c r="C48" s="15" t="s">
        <v>33</v>
      </c>
      <c r="D48" s="15"/>
      <c r="E48" s="23"/>
      <c r="F48" s="95" t="s">
        <v>94</v>
      </c>
      <c r="G48" s="15">
        <f t="shared" si="4"/>
        <v>0</v>
      </c>
      <c r="H48" s="23"/>
      <c r="I48" s="95" t="s">
        <v>46</v>
      </c>
      <c r="J48" s="15">
        <f t="shared" si="5"/>
        <v>0</v>
      </c>
      <c r="K48" s="23"/>
      <c r="L48" s="95" t="s">
        <v>28</v>
      </c>
      <c r="M48" s="15">
        <f t="shared" si="6"/>
        <v>0</v>
      </c>
      <c r="N48" s="23"/>
      <c r="O48" s="95" t="s">
        <v>40</v>
      </c>
      <c r="P48" s="15">
        <f t="shared" si="7"/>
        <v>0</v>
      </c>
      <c r="Q48" s="94" t="s">
        <v>27</v>
      </c>
    </row>
    <row r="49" spans="1:23" x14ac:dyDescent="0.25">
      <c r="A49" s="89"/>
      <c r="B49" s="15" t="s">
        <v>95</v>
      </c>
      <c r="C49" s="15" t="s">
        <v>88</v>
      </c>
      <c r="D49" s="15"/>
      <c r="E49" s="23"/>
      <c r="F49" s="95" t="s">
        <v>96</v>
      </c>
      <c r="G49" s="15">
        <f t="shared" si="4"/>
        <v>0</v>
      </c>
      <c r="H49" s="23"/>
      <c r="I49" s="95" t="s">
        <v>97</v>
      </c>
      <c r="J49" s="15">
        <f t="shared" si="5"/>
        <v>0</v>
      </c>
      <c r="K49" s="23"/>
      <c r="L49" s="95" t="s">
        <v>57</v>
      </c>
      <c r="M49" s="15">
        <f t="shared" si="6"/>
        <v>0</v>
      </c>
      <c r="N49" s="23"/>
      <c r="O49" s="95" t="s">
        <v>28</v>
      </c>
      <c r="P49" s="15">
        <f t="shared" si="7"/>
        <v>0</v>
      </c>
      <c r="Q49" s="94" t="s">
        <v>27</v>
      </c>
    </row>
    <row r="50" spans="1:23" x14ac:dyDescent="0.25">
      <c r="A50" s="89"/>
      <c r="B50" s="15" t="s">
        <v>95</v>
      </c>
      <c r="C50" s="15" t="s">
        <v>38</v>
      </c>
      <c r="D50" s="15"/>
      <c r="E50" s="23"/>
      <c r="F50" s="95" t="s">
        <v>92</v>
      </c>
      <c r="G50" s="15">
        <f t="shared" si="4"/>
        <v>0</v>
      </c>
      <c r="H50" s="23"/>
      <c r="I50" s="95" t="s">
        <v>94</v>
      </c>
      <c r="J50" s="15">
        <f t="shared" si="5"/>
        <v>0</v>
      </c>
      <c r="K50" s="23"/>
      <c r="L50" s="95" t="s">
        <v>60</v>
      </c>
      <c r="M50" s="15">
        <f t="shared" si="6"/>
        <v>0</v>
      </c>
      <c r="N50" s="23"/>
      <c r="O50" s="95" t="s">
        <v>67</v>
      </c>
      <c r="P50" s="15">
        <f t="shared" si="7"/>
        <v>0</v>
      </c>
      <c r="Q50" s="94" t="s">
        <v>27</v>
      </c>
    </row>
    <row r="51" spans="1:23" x14ac:dyDescent="0.25">
      <c r="A51" s="89"/>
      <c r="B51" s="15" t="s">
        <v>98</v>
      </c>
      <c r="C51" s="15" t="s">
        <v>33</v>
      </c>
      <c r="D51" s="15"/>
      <c r="E51" s="23"/>
      <c r="F51" s="95" t="s">
        <v>99</v>
      </c>
      <c r="G51" s="15">
        <f t="shared" si="4"/>
        <v>0</v>
      </c>
      <c r="H51" s="23"/>
      <c r="I51" s="95" t="s">
        <v>67</v>
      </c>
      <c r="J51" s="15">
        <f t="shared" si="5"/>
        <v>0</v>
      </c>
      <c r="K51" s="23"/>
      <c r="L51" s="95" t="s">
        <v>55</v>
      </c>
      <c r="M51" s="15">
        <f t="shared" si="6"/>
        <v>0</v>
      </c>
      <c r="N51" s="23"/>
      <c r="O51" s="95" t="s">
        <v>29</v>
      </c>
      <c r="P51" s="15">
        <f t="shared" si="7"/>
        <v>0</v>
      </c>
      <c r="Q51" s="94" t="s">
        <v>27</v>
      </c>
    </row>
    <row r="52" spans="1:23" x14ac:dyDescent="0.25">
      <c r="A52" s="89"/>
      <c r="B52" s="15" t="s">
        <v>100</v>
      </c>
      <c r="C52" s="15" t="s">
        <v>88</v>
      </c>
      <c r="D52" s="15"/>
      <c r="E52" s="23"/>
      <c r="F52" s="95" t="s">
        <v>101</v>
      </c>
      <c r="G52" s="15">
        <f t="shared" si="4"/>
        <v>0</v>
      </c>
      <c r="H52" s="23"/>
      <c r="I52" s="95" t="s">
        <v>60</v>
      </c>
      <c r="J52" s="15">
        <f t="shared" si="5"/>
        <v>0</v>
      </c>
      <c r="K52" s="23"/>
      <c r="L52" s="95" t="s">
        <v>34</v>
      </c>
      <c r="M52" s="15">
        <f t="shared" si="6"/>
        <v>0</v>
      </c>
      <c r="N52" s="23"/>
      <c r="O52" s="95" t="s">
        <v>55</v>
      </c>
      <c r="P52" s="15">
        <f t="shared" si="7"/>
        <v>0</v>
      </c>
      <c r="Q52" s="94" t="s">
        <v>27</v>
      </c>
    </row>
    <row r="53" spans="1:23" x14ac:dyDescent="0.25">
      <c r="A53" s="89"/>
      <c r="B53" s="15" t="s">
        <v>100</v>
      </c>
      <c r="C53" s="15" t="s">
        <v>38</v>
      </c>
      <c r="D53" s="15"/>
      <c r="E53" s="23"/>
      <c r="F53" s="95" t="s">
        <v>102</v>
      </c>
      <c r="G53" s="15">
        <f t="shared" si="4"/>
        <v>0</v>
      </c>
      <c r="H53" s="23"/>
      <c r="I53" s="95" t="s">
        <v>74</v>
      </c>
      <c r="J53" s="15">
        <f t="shared" si="5"/>
        <v>0</v>
      </c>
      <c r="K53" s="23"/>
      <c r="L53" s="95" t="s">
        <v>44</v>
      </c>
      <c r="M53" s="15">
        <f t="shared" si="6"/>
        <v>0</v>
      </c>
      <c r="N53" s="23"/>
      <c r="O53" s="95" t="s">
        <v>58</v>
      </c>
      <c r="P53" s="15">
        <f t="shared" si="7"/>
        <v>0</v>
      </c>
      <c r="Q53" s="94" t="s">
        <v>27</v>
      </c>
    </row>
    <row r="54" spans="1:23" x14ac:dyDescent="0.25">
      <c r="A54" s="89"/>
      <c r="B54" s="15" t="s">
        <v>103</v>
      </c>
      <c r="C54" s="15" t="s">
        <v>33</v>
      </c>
      <c r="D54" s="15"/>
      <c r="E54" s="23"/>
      <c r="F54" s="95" t="s">
        <v>104</v>
      </c>
      <c r="G54" s="15">
        <f t="shared" si="4"/>
        <v>0</v>
      </c>
      <c r="H54" s="23"/>
      <c r="I54" s="95" t="s">
        <v>64</v>
      </c>
      <c r="J54" s="15">
        <f t="shared" si="5"/>
        <v>0</v>
      </c>
      <c r="K54" s="23"/>
      <c r="L54" s="95" t="s">
        <v>28</v>
      </c>
      <c r="M54" s="15">
        <f t="shared" si="6"/>
        <v>0</v>
      </c>
      <c r="N54" s="23"/>
      <c r="O54" s="95" t="s">
        <v>40</v>
      </c>
      <c r="P54" s="15">
        <f t="shared" si="7"/>
        <v>0</v>
      </c>
      <c r="Q54" s="94" t="s">
        <v>27</v>
      </c>
    </row>
    <row r="55" spans="1:23" x14ac:dyDescent="0.25">
      <c r="A55" s="89"/>
      <c r="B55" s="15" t="s">
        <v>105</v>
      </c>
      <c r="C55" s="15" t="s">
        <v>88</v>
      </c>
      <c r="D55" s="15"/>
      <c r="E55" s="23"/>
      <c r="F55" s="95" t="s">
        <v>106</v>
      </c>
      <c r="G55" s="15">
        <f t="shared" si="4"/>
        <v>0</v>
      </c>
      <c r="H55" s="23"/>
      <c r="I55" s="95" t="s">
        <v>71</v>
      </c>
      <c r="J55" s="15">
        <f t="shared" si="5"/>
        <v>0</v>
      </c>
      <c r="K55" s="23"/>
      <c r="L55" s="95" t="s">
        <v>67</v>
      </c>
      <c r="M55" s="15">
        <f t="shared" si="6"/>
        <v>0</v>
      </c>
      <c r="N55" s="23"/>
      <c r="O55" s="95" t="s">
        <v>58</v>
      </c>
      <c r="P55" s="15">
        <f t="shared" si="7"/>
        <v>0</v>
      </c>
      <c r="Q55" s="94" t="s">
        <v>27</v>
      </c>
    </row>
    <row r="56" spans="1:23" x14ac:dyDescent="0.25">
      <c r="A56" s="89"/>
      <c r="B56" s="15" t="s">
        <v>105</v>
      </c>
      <c r="C56" s="15" t="s">
        <v>38</v>
      </c>
      <c r="D56" s="15"/>
      <c r="E56" s="23"/>
      <c r="F56" s="95" t="s">
        <v>92</v>
      </c>
      <c r="G56" s="15">
        <f t="shared" si="4"/>
        <v>0</v>
      </c>
      <c r="H56" s="23"/>
      <c r="I56" s="95" t="s">
        <v>81</v>
      </c>
      <c r="J56" s="15">
        <f t="shared" si="5"/>
        <v>0</v>
      </c>
      <c r="K56" s="23"/>
      <c r="L56" s="95" t="s">
        <v>57</v>
      </c>
      <c r="M56" s="15">
        <f t="shared" si="6"/>
        <v>0</v>
      </c>
      <c r="N56" s="23"/>
      <c r="O56" s="95" t="s">
        <v>28</v>
      </c>
      <c r="P56" s="15">
        <f t="shared" si="7"/>
        <v>0</v>
      </c>
      <c r="Q56" s="94" t="s">
        <v>27</v>
      </c>
    </row>
    <row r="57" spans="1:23" ht="15.75" thickBot="1" x14ac:dyDescent="0.3">
      <c r="A57" s="89"/>
      <c r="B57" s="15" t="s">
        <v>107</v>
      </c>
      <c r="C57" s="15" t="s">
        <v>26</v>
      </c>
      <c r="D57" s="15"/>
      <c r="E57" s="24"/>
      <c r="F57" s="97" t="s">
        <v>73</v>
      </c>
      <c r="G57" s="15">
        <f t="shared" si="4"/>
        <v>0</v>
      </c>
      <c r="H57" s="24"/>
      <c r="I57" s="97" t="s">
        <v>39</v>
      </c>
      <c r="J57" s="15">
        <f t="shared" si="5"/>
        <v>0</v>
      </c>
      <c r="K57" s="24"/>
      <c r="L57" s="97" t="s">
        <v>55</v>
      </c>
      <c r="M57" s="15">
        <f t="shared" si="6"/>
        <v>0</v>
      </c>
      <c r="N57" s="24"/>
      <c r="O57" s="97" t="s">
        <v>29</v>
      </c>
      <c r="P57" s="15">
        <f t="shared" si="7"/>
        <v>0</v>
      </c>
      <c r="Q57" s="94" t="s">
        <v>27</v>
      </c>
    </row>
    <row r="58" spans="1:23" x14ac:dyDescent="0.25">
      <c r="A58" s="89"/>
      <c r="B58" s="15"/>
      <c r="C58" s="15"/>
      <c r="D58" s="15"/>
      <c r="E58" s="102"/>
      <c r="F58" s="99"/>
      <c r="G58" s="100"/>
      <c r="H58" s="98"/>
      <c r="I58" s="99"/>
      <c r="J58" s="100"/>
      <c r="K58" s="98"/>
      <c r="L58" s="99"/>
      <c r="M58" s="100"/>
      <c r="N58" s="98"/>
      <c r="O58" s="99"/>
      <c r="P58" s="15"/>
      <c r="Q58" s="94"/>
      <c r="W58" s="103" t="s">
        <v>206</v>
      </c>
    </row>
    <row r="59" spans="1:23" x14ac:dyDescent="0.25">
      <c r="A59" s="104" t="s">
        <v>108</v>
      </c>
      <c r="B59" s="89"/>
      <c r="C59" s="89"/>
      <c r="D59" s="89"/>
      <c r="E59" s="105"/>
      <c r="F59" s="20"/>
      <c r="G59" s="21"/>
      <c r="H59" s="106"/>
      <c r="I59" s="20"/>
      <c r="J59" s="21"/>
      <c r="K59" s="106"/>
      <c r="L59" s="20"/>
      <c r="M59" s="21"/>
      <c r="N59" s="106"/>
      <c r="O59" s="20"/>
      <c r="P59" s="89"/>
      <c r="Q59" s="89"/>
      <c r="W59" s="107"/>
    </row>
    <row r="60" spans="1:23" ht="15.75" thickBot="1" x14ac:dyDescent="0.3">
      <c r="A60" s="15" t="s">
        <v>109</v>
      </c>
      <c r="B60" s="89"/>
      <c r="C60" s="89"/>
      <c r="D60" s="89"/>
      <c r="E60" s="105"/>
      <c r="F60" s="17" t="s">
        <v>23</v>
      </c>
      <c r="G60" s="18"/>
      <c r="H60" s="106"/>
      <c r="I60" s="17" t="s">
        <v>23</v>
      </c>
      <c r="J60" s="18"/>
      <c r="K60" s="106"/>
      <c r="L60" s="17" t="s">
        <v>23</v>
      </c>
      <c r="M60" s="18"/>
      <c r="N60" s="106"/>
      <c r="O60" s="17" t="s">
        <v>23</v>
      </c>
      <c r="P60" s="15"/>
      <c r="Q60" s="89"/>
      <c r="W60" s="14" t="s">
        <v>207</v>
      </c>
    </row>
    <row r="61" spans="1:23" x14ac:dyDescent="0.25">
      <c r="A61" s="89"/>
      <c r="B61" s="15" t="s">
        <v>110</v>
      </c>
      <c r="C61" s="15"/>
      <c r="D61" s="15"/>
      <c r="E61" s="22"/>
      <c r="F61" s="108" t="s">
        <v>86</v>
      </c>
      <c r="G61" s="15">
        <f>ROUND(IF(AND(E61&gt;0,E61&lt;10000),E61*F61,0),2)</f>
        <v>0</v>
      </c>
      <c r="H61" s="22"/>
      <c r="I61" s="108" t="s">
        <v>58</v>
      </c>
      <c r="J61" s="15">
        <f>ROUND(IF(AND(H61&gt;0,H61&lt;10000),H61*I61,0),2)</f>
        <v>0</v>
      </c>
      <c r="K61" s="22"/>
      <c r="L61" s="93" t="s">
        <v>29</v>
      </c>
      <c r="M61" s="15">
        <f>ROUND(IF(AND(K61&gt;0,K61&lt;10000),K61*L61,0),2)</f>
        <v>0</v>
      </c>
      <c r="N61" s="22"/>
      <c r="O61" s="93" t="s">
        <v>48</v>
      </c>
      <c r="P61" s="15">
        <f>ROUND(IF(AND(N61&gt;0,N61&lt;10000),N61*O61,0),2)</f>
        <v>0</v>
      </c>
      <c r="Q61" s="94" t="s">
        <v>27</v>
      </c>
      <c r="W61" s="14" t="s">
        <v>208</v>
      </c>
    </row>
    <row r="62" spans="1:23" x14ac:dyDescent="0.25">
      <c r="A62" s="89"/>
      <c r="B62" s="15" t="s">
        <v>111</v>
      </c>
      <c r="C62" s="15"/>
      <c r="D62" s="15"/>
      <c r="E62" s="23"/>
      <c r="F62" s="95" t="s">
        <v>89</v>
      </c>
      <c r="G62" s="15">
        <f>ROUND(IF(AND(E62&gt;0,E62&lt;10000),E62*F62,0),2)</f>
        <v>0</v>
      </c>
      <c r="H62" s="23"/>
      <c r="I62" s="95" t="s">
        <v>62</v>
      </c>
      <c r="J62" s="15">
        <f>ROUND(IF(AND(H62&gt;0,H62&lt;10000),H62*I62,0),2)</f>
        <v>0</v>
      </c>
      <c r="K62" s="23"/>
      <c r="L62" s="95" t="s">
        <v>58</v>
      </c>
      <c r="M62" s="15">
        <f>ROUND(IF(AND(K62&gt;0,K62&lt;10000),K62*L62,0),2)</f>
        <v>0</v>
      </c>
      <c r="N62" s="23"/>
      <c r="O62" s="95" t="s">
        <v>59</v>
      </c>
      <c r="P62" s="15">
        <f>ROUND(IF(AND(N62&gt;0,N62&lt;10000),N62*O62,0),2)</f>
        <v>0</v>
      </c>
      <c r="Q62" s="94" t="s">
        <v>27</v>
      </c>
      <c r="W62" s="14" t="s">
        <v>209</v>
      </c>
    </row>
    <row r="63" spans="1:23" ht="15.75" thickBot="1" x14ac:dyDescent="0.3">
      <c r="A63" s="89"/>
      <c r="B63" s="15" t="s">
        <v>112</v>
      </c>
      <c r="C63" s="15"/>
      <c r="D63" s="15"/>
      <c r="E63" s="24"/>
      <c r="F63" s="97" t="s">
        <v>90</v>
      </c>
      <c r="G63" s="15">
        <f>ROUND(IF(AND(E63&gt;0,E63&lt;10000),E63*F63,0),2)</f>
        <v>0</v>
      </c>
      <c r="H63" s="24"/>
      <c r="I63" s="97" t="s">
        <v>68</v>
      </c>
      <c r="J63" s="15">
        <f>ROUND(IF(AND(H63&gt;0,H63&lt;10000),H63*I63,0),2)</f>
        <v>0</v>
      </c>
      <c r="K63" s="24"/>
      <c r="L63" s="97" t="s">
        <v>39</v>
      </c>
      <c r="M63" s="15">
        <f>ROUND(IF(AND(K63&gt;0,K63&lt;10000),K63*L63,0),2)</f>
        <v>0</v>
      </c>
      <c r="N63" s="24"/>
      <c r="O63" s="97" t="s">
        <v>51</v>
      </c>
      <c r="P63" s="15">
        <f>ROUND(IF(AND(N63&gt;0,N63&lt;10000),N63*O63,0),2)</f>
        <v>0</v>
      </c>
      <c r="Q63" s="94" t="s">
        <v>27</v>
      </c>
    </row>
    <row r="64" spans="1:23" ht="15.75" thickBot="1" x14ac:dyDescent="0.3">
      <c r="A64" s="15" t="s">
        <v>113</v>
      </c>
      <c r="B64" s="89"/>
      <c r="C64" s="89"/>
      <c r="D64" s="89"/>
      <c r="E64" s="105"/>
      <c r="F64" s="16" t="s">
        <v>23</v>
      </c>
      <c r="G64" s="15"/>
      <c r="H64" s="105"/>
      <c r="I64" s="17"/>
      <c r="J64" s="18"/>
      <c r="K64" s="106"/>
      <c r="L64" s="16"/>
      <c r="M64" s="15"/>
      <c r="N64" s="105"/>
      <c r="O64" s="17" t="s">
        <v>23</v>
      </c>
      <c r="P64" s="15"/>
      <c r="Q64" s="89"/>
    </row>
    <row r="65" spans="1:24" ht="15.75" thickBot="1" x14ac:dyDescent="0.3">
      <c r="A65" s="89"/>
      <c r="B65" s="15" t="s">
        <v>114</v>
      </c>
      <c r="C65" s="15"/>
      <c r="D65" s="15"/>
      <c r="E65" s="25"/>
      <c r="F65" s="109" t="s">
        <v>115</v>
      </c>
      <c r="G65" s="15">
        <f>ROUND(IF(AND(E65&gt;0,E65&lt;10000),E65*F65,0),2)</f>
        <v>0</v>
      </c>
      <c r="H65" s="25"/>
      <c r="I65" s="110" t="s">
        <v>115</v>
      </c>
      <c r="J65" s="15">
        <f>ROUND(IF(AND(H65&gt;0,H65&lt;10000),H65*I65,0),2)</f>
        <v>0</v>
      </c>
      <c r="K65" s="25"/>
      <c r="L65" s="110" t="s">
        <v>115</v>
      </c>
      <c r="M65" s="15">
        <f>ROUND(IF(AND(K65&gt;0,K65&lt;10000),K65*L65,0),2)</f>
        <v>0</v>
      </c>
      <c r="N65" s="25"/>
      <c r="O65" s="110" t="s">
        <v>115</v>
      </c>
      <c r="P65" s="15">
        <f>ROUND(IF(AND(N65&gt;0,N65&lt;10000),N65*O65,0),2)</f>
        <v>0</v>
      </c>
      <c r="Q65" s="94" t="s">
        <v>27</v>
      </c>
      <c r="W65" s="103" t="s">
        <v>212</v>
      </c>
      <c r="X65" s="111"/>
    </row>
    <row r="66" spans="1:24" ht="15.75" thickBot="1" x14ac:dyDescent="0.3">
      <c r="A66" s="89"/>
      <c r="B66" s="15" t="s">
        <v>116</v>
      </c>
      <c r="C66" s="89"/>
      <c r="D66" s="89"/>
      <c r="E66" s="105"/>
      <c r="F66" s="16" t="s">
        <v>23</v>
      </c>
      <c r="G66" s="15"/>
      <c r="H66" s="105"/>
      <c r="I66" s="17"/>
      <c r="J66" s="18"/>
      <c r="K66" s="106"/>
      <c r="L66" s="16"/>
      <c r="M66" s="15"/>
      <c r="N66" s="105"/>
      <c r="O66" s="17" t="s">
        <v>23</v>
      </c>
      <c r="P66" s="15"/>
      <c r="Q66" s="89"/>
      <c r="U66" s="139"/>
    </row>
    <row r="67" spans="1:24" x14ac:dyDescent="0.25">
      <c r="A67" s="89"/>
      <c r="B67" s="15" t="s">
        <v>117</v>
      </c>
      <c r="C67" s="15" t="s">
        <v>118</v>
      </c>
      <c r="D67" s="15"/>
      <c r="E67" s="22"/>
      <c r="F67" s="93" t="s">
        <v>115</v>
      </c>
      <c r="G67" s="15">
        <f>ROUND(IF(AND(E67&gt;0,E67&lt;10000),E67*F67,0),2)</f>
        <v>0</v>
      </c>
      <c r="H67" s="22"/>
      <c r="I67" s="93" t="s">
        <v>115</v>
      </c>
      <c r="J67" s="15">
        <f>ROUND(IF(AND(H67&gt;0,H67&lt;10000),H67*I67,0),2)</f>
        <v>0</v>
      </c>
      <c r="K67" s="22"/>
      <c r="L67" s="93" t="s">
        <v>115</v>
      </c>
      <c r="M67" s="15">
        <f>ROUND(IF(AND(K67&gt;0,K67&lt;10000),K67*L67,0),2)</f>
        <v>0</v>
      </c>
      <c r="N67" s="22"/>
      <c r="O67" s="93" t="s">
        <v>115</v>
      </c>
      <c r="P67" s="15">
        <f>ROUND(IF(AND(N67&gt;0,N67&lt;10000),N67*O67,0),2)</f>
        <v>0</v>
      </c>
      <c r="Q67" s="94" t="s">
        <v>27</v>
      </c>
      <c r="U67" s="139"/>
      <c r="W67" s="14" t="s">
        <v>204</v>
      </c>
    </row>
    <row r="68" spans="1:24" x14ac:dyDescent="0.25">
      <c r="A68" s="89"/>
      <c r="B68" s="15" t="s">
        <v>119</v>
      </c>
      <c r="C68" s="15"/>
      <c r="D68" s="15"/>
      <c r="E68" s="23"/>
      <c r="F68" s="95" t="s">
        <v>40</v>
      </c>
      <c r="G68" s="15">
        <f>ROUND(IF(AND(E68&gt;0,E68&lt;10000),E68*F68,0),2)</f>
        <v>0</v>
      </c>
      <c r="H68" s="23"/>
      <c r="I68" s="95" t="s">
        <v>48</v>
      </c>
      <c r="J68" s="15">
        <f>ROUND(IF(AND(H68&gt;0,H68&lt;10000),H68*I68,0),2)</f>
        <v>0</v>
      </c>
      <c r="K68" s="23"/>
      <c r="L68" s="95" t="s">
        <v>120</v>
      </c>
      <c r="M68" s="15">
        <f>ROUND(IF(AND(K68&gt;0,K68&lt;10000),K68*L68,0),2)</f>
        <v>0</v>
      </c>
      <c r="N68" s="23"/>
      <c r="O68" s="95" t="s">
        <v>37</v>
      </c>
      <c r="P68" s="15">
        <f>ROUND(IF(AND(N68&gt;0,N68&lt;10000),N68*O68,0),2)</f>
        <v>0</v>
      </c>
      <c r="Q68" s="94" t="s">
        <v>27</v>
      </c>
      <c r="W68" s="14" t="s">
        <v>203</v>
      </c>
    </row>
    <row r="69" spans="1:24" x14ac:dyDescent="0.25">
      <c r="A69" s="89"/>
      <c r="B69" s="15" t="s">
        <v>121</v>
      </c>
      <c r="C69" s="89"/>
      <c r="D69" s="89"/>
      <c r="E69" s="23"/>
      <c r="F69" s="95" t="s">
        <v>34</v>
      </c>
      <c r="G69" s="15">
        <f>ROUND(IF(AND(E69&gt;0,E69&lt;10000),E69*F69,0),2)</f>
        <v>0</v>
      </c>
      <c r="H69" s="23"/>
      <c r="I69" s="95" t="s">
        <v>35</v>
      </c>
      <c r="J69" s="15">
        <f>ROUND(IF(AND(H69&gt;0,H69&lt;10000),H69*I69,0),2)</f>
        <v>0</v>
      </c>
      <c r="K69" s="23"/>
      <c r="L69" s="95" t="s">
        <v>48</v>
      </c>
      <c r="M69" s="15">
        <f>ROUND(IF(AND(K69&gt;0,K69&lt;10000),K69*L69,0),2)</f>
        <v>0</v>
      </c>
      <c r="N69" s="23"/>
      <c r="O69" s="95" t="s">
        <v>30</v>
      </c>
      <c r="P69" s="15">
        <f>ROUND(IF(AND(N69&gt;0,N69&lt;10000),N69*O69,0),2)</f>
        <v>0</v>
      </c>
      <c r="Q69" s="94" t="s">
        <v>27</v>
      </c>
      <c r="U69" s="139"/>
    </row>
    <row r="70" spans="1:24" ht="15.75" thickBot="1" x14ac:dyDescent="0.3">
      <c r="A70" s="89"/>
      <c r="B70" s="15" t="s">
        <v>122</v>
      </c>
      <c r="C70" s="89"/>
      <c r="D70" s="89"/>
      <c r="E70" s="24"/>
      <c r="F70" s="97" t="s">
        <v>44</v>
      </c>
      <c r="G70" s="15">
        <f>ROUND(IF(AND(E70&gt;0,E70&lt;10000),E70*F70,0),2)</f>
        <v>0</v>
      </c>
      <c r="H70" s="24"/>
      <c r="I70" s="97" t="s">
        <v>55</v>
      </c>
      <c r="J70" s="15">
        <f>ROUND(IF(AND(H70&gt;0,H70&lt;10000),H70*I70,0),2)</f>
        <v>0</v>
      </c>
      <c r="K70" s="24"/>
      <c r="L70" s="97" t="s">
        <v>52</v>
      </c>
      <c r="M70" s="15">
        <f>ROUND(IF(AND(K70&gt;0,K70&lt;10000),K70*L70,0),2)</f>
        <v>0</v>
      </c>
      <c r="N70" s="24"/>
      <c r="O70" s="97" t="s">
        <v>48</v>
      </c>
      <c r="P70" s="15">
        <f>ROUND(IF(AND(N70&gt;0,N70&lt;10000),N70*O70,0),2)</f>
        <v>0</v>
      </c>
      <c r="Q70" s="94" t="s">
        <v>27</v>
      </c>
      <c r="U70" s="139"/>
    </row>
    <row r="71" spans="1:24" ht="15.75" thickBot="1" x14ac:dyDescent="0.3">
      <c r="A71" s="15" t="s">
        <v>123</v>
      </c>
      <c r="B71" s="89"/>
      <c r="C71" s="15" t="s">
        <v>124</v>
      </c>
      <c r="D71" s="15"/>
      <c r="E71" s="112"/>
      <c r="F71" s="16"/>
      <c r="G71" s="15"/>
      <c r="H71" s="113"/>
      <c r="I71" s="17"/>
      <c r="J71" s="18"/>
      <c r="K71" s="113"/>
      <c r="L71" s="16"/>
      <c r="M71" s="15"/>
      <c r="N71" s="112"/>
      <c r="O71" s="20"/>
      <c r="P71" s="15"/>
      <c r="Q71" s="15"/>
    </row>
    <row r="72" spans="1:24" x14ac:dyDescent="0.25">
      <c r="A72" s="89"/>
      <c r="B72" s="15" t="s">
        <v>125</v>
      </c>
      <c r="C72" s="15" t="s">
        <v>35</v>
      </c>
      <c r="D72" s="15"/>
      <c r="E72" s="22"/>
      <c r="F72" s="93" t="s">
        <v>48</v>
      </c>
      <c r="G72" s="15">
        <f>ROUND(IF(AND(E72&gt;0,E72&lt;10000),E72*F72,0),2)</f>
        <v>0</v>
      </c>
      <c r="H72" s="22"/>
      <c r="I72" s="93" t="s">
        <v>120</v>
      </c>
      <c r="J72" s="15">
        <f>ROUND(IF(AND(H72&gt;0,H72&lt;10000),H72*I72,0),2)</f>
        <v>0</v>
      </c>
      <c r="K72" s="22"/>
      <c r="L72" s="93" t="s">
        <v>31</v>
      </c>
      <c r="M72" s="15">
        <f>ROUND(IF(AND(K72&gt;0,K72&lt;10000),K72*L72,0),2)</f>
        <v>0</v>
      </c>
      <c r="N72" s="22"/>
      <c r="O72" s="93" t="s">
        <v>126</v>
      </c>
      <c r="P72" s="15">
        <f>ROUND(IF(AND(N72&gt;0,N72&lt;10000),N72*O72,0),2)</f>
        <v>0</v>
      </c>
      <c r="Q72" s="94" t="s">
        <v>27</v>
      </c>
      <c r="U72" s="139"/>
    </row>
    <row r="73" spans="1:24" ht="15.75" thickBot="1" x14ac:dyDescent="0.3">
      <c r="A73" s="89"/>
      <c r="B73" s="15" t="s">
        <v>127</v>
      </c>
      <c r="C73" s="15" t="s">
        <v>128</v>
      </c>
      <c r="D73" s="15"/>
      <c r="E73" s="24"/>
      <c r="F73" s="114" t="s">
        <v>45</v>
      </c>
      <c r="G73" s="15">
        <f>ROUND(IF(AND(E73&gt;0,E73&lt;10000),E73*F73,0),2)</f>
        <v>0</v>
      </c>
      <c r="H73" s="24"/>
      <c r="I73" s="97" t="s">
        <v>41</v>
      </c>
      <c r="J73" s="15">
        <f>ROUND(IF(AND(H73&gt;0,H73&lt;10000),H73*I73,0),2)</f>
        <v>0</v>
      </c>
      <c r="K73" s="24"/>
      <c r="L73" s="97" t="s">
        <v>30</v>
      </c>
      <c r="M73" s="15">
        <f>ROUND(IF(AND(K73&gt;0,K73&lt;10000),K73*L73,0),2)</f>
        <v>0</v>
      </c>
      <c r="N73" s="24"/>
      <c r="O73" s="97" t="s">
        <v>37</v>
      </c>
      <c r="P73" s="15">
        <f>ROUND(IF(AND(N73&gt;0,N73&lt;10000),N73*O73,0),2)</f>
        <v>0</v>
      </c>
      <c r="Q73" s="94" t="s">
        <v>27</v>
      </c>
      <c r="U73" s="139"/>
    </row>
    <row r="74" spans="1:24" ht="15.75" thickBot="1" x14ac:dyDescent="0.3">
      <c r="A74" s="15" t="s">
        <v>129</v>
      </c>
      <c r="B74" s="15"/>
      <c r="C74" s="115" t="s">
        <v>124</v>
      </c>
      <c r="D74" s="115"/>
      <c r="E74" s="105"/>
      <c r="F74" s="17"/>
      <c r="G74" s="18"/>
      <c r="H74" s="106"/>
      <c r="I74" s="17"/>
      <c r="J74" s="18"/>
      <c r="K74" s="106"/>
      <c r="L74" s="17"/>
      <c r="M74" s="15"/>
      <c r="N74" s="105"/>
      <c r="O74" s="17" t="s">
        <v>23</v>
      </c>
      <c r="P74" s="15"/>
      <c r="Q74" s="115"/>
    </row>
    <row r="75" spans="1:24" x14ac:dyDescent="0.25">
      <c r="A75" s="89"/>
      <c r="B75" s="15" t="s">
        <v>130</v>
      </c>
      <c r="C75" s="15" t="s">
        <v>60</v>
      </c>
      <c r="D75" s="15"/>
      <c r="E75" s="22"/>
      <c r="F75" s="93" t="s">
        <v>28</v>
      </c>
      <c r="G75" s="15">
        <f t="shared" ref="G75:G80" si="8">ROUND(IF(AND(E75&gt;0,E75&lt;10000),E75*F75,0),2)</f>
        <v>0</v>
      </c>
      <c r="H75" s="22"/>
      <c r="I75" s="93" t="s">
        <v>35</v>
      </c>
      <c r="J75" s="15">
        <f t="shared" ref="J75:J80" si="9">ROUND(IF(AND(H75&gt;0,H75&lt;10000),H75*I75,0),2)</f>
        <v>0</v>
      </c>
      <c r="K75" s="22"/>
      <c r="L75" s="93" t="s">
        <v>36</v>
      </c>
      <c r="M75" s="15">
        <f t="shared" ref="M75:M80" si="10">ROUND(IF(AND(K75&gt;0,K75&lt;10000),K75*L75,0),2)</f>
        <v>0</v>
      </c>
      <c r="N75" s="22"/>
      <c r="O75" s="93" t="s">
        <v>120</v>
      </c>
      <c r="P75" s="15">
        <f t="shared" ref="P75:P80" si="11">ROUND(IF(AND(N75&gt;0,N75&lt;10000),N75*O75,0),2)</f>
        <v>0</v>
      </c>
      <c r="Q75" s="94" t="s">
        <v>27</v>
      </c>
    </row>
    <row r="76" spans="1:24" x14ac:dyDescent="0.25">
      <c r="A76" s="89"/>
      <c r="B76" s="15" t="s">
        <v>131</v>
      </c>
      <c r="C76" s="15" t="s">
        <v>132</v>
      </c>
      <c r="D76" s="15"/>
      <c r="E76" s="23"/>
      <c r="F76" s="95" t="s">
        <v>68</v>
      </c>
      <c r="G76" s="15">
        <f t="shared" si="8"/>
        <v>0</v>
      </c>
      <c r="H76" s="23"/>
      <c r="I76" s="95" t="s">
        <v>54</v>
      </c>
      <c r="J76" s="15">
        <f t="shared" si="9"/>
        <v>0</v>
      </c>
      <c r="K76" s="23"/>
      <c r="L76" s="95" t="s">
        <v>40</v>
      </c>
      <c r="M76" s="15">
        <f t="shared" si="10"/>
        <v>0</v>
      </c>
      <c r="N76" s="23"/>
      <c r="O76" s="95" t="s">
        <v>52</v>
      </c>
      <c r="P76" s="15">
        <f t="shared" si="11"/>
        <v>0</v>
      </c>
      <c r="Q76" s="94" t="s">
        <v>27</v>
      </c>
    </row>
    <row r="77" spans="1:24" x14ac:dyDescent="0.25">
      <c r="A77" s="89"/>
      <c r="B77" s="15" t="s">
        <v>133</v>
      </c>
      <c r="C77" s="15" t="s">
        <v>92</v>
      </c>
      <c r="D77" s="15"/>
      <c r="E77" s="23"/>
      <c r="F77" s="95" t="s">
        <v>99</v>
      </c>
      <c r="G77" s="15">
        <f t="shared" si="8"/>
        <v>0</v>
      </c>
      <c r="H77" s="23"/>
      <c r="I77" s="95" t="s">
        <v>44</v>
      </c>
      <c r="J77" s="15">
        <f t="shared" si="9"/>
        <v>0</v>
      </c>
      <c r="K77" s="23"/>
      <c r="L77" s="95" t="s">
        <v>45</v>
      </c>
      <c r="M77" s="15">
        <f t="shared" si="10"/>
        <v>0</v>
      </c>
      <c r="N77" s="23"/>
      <c r="O77" s="95" t="s">
        <v>29</v>
      </c>
      <c r="P77" s="15">
        <f t="shared" si="11"/>
        <v>0</v>
      </c>
      <c r="Q77" s="94" t="s">
        <v>27</v>
      </c>
    </row>
    <row r="78" spans="1:24" x14ac:dyDescent="0.25">
      <c r="A78" s="89"/>
      <c r="B78" s="15" t="s">
        <v>134</v>
      </c>
      <c r="C78" s="15" t="s">
        <v>135</v>
      </c>
      <c r="D78" s="15"/>
      <c r="E78" s="23"/>
      <c r="F78" s="95" t="s">
        <v>136</v>
      </c>
      <c r="G78" s="15">
        <f t="shared" si="8"/>
        <v>0</v>
      </c>
      <c r="H78" s="23"/>
      <c r="I78" s="95" t="s">
        <v>57</v>
      </c>
      <c r="J78" s="15">
        <f t="shared" si="9"/>
        <v>0</v>
      </c>
      <c r="K78" s="23"/>
      <c r="L78" s="95" t="s">
        <v>51</v>
      </c>
      <c r="M78" s="15">
        <f t="shared" si="10"/>
        <v>0</v>
      </c>
      <c r="N78" s="23"/>
      <c r="O78" s="95" t="s">
        <v>35</v>
      </c>
      <c r="P78" s="15">
        <f t="shared" si="11"/>
        <v>0</v>
      </c>
      <c r="Q78" s="94" t="s">
        <v>27</v>
      </c>
    </row>
    <row r="79" spans="1:24" x14ac:dyDescent="0.25">
      <c r="A79" s="89"/>
      <c r="B79" s="15" t="s">
        <v>137</v>
      </c>
      <c r="C79" s="15" t="s">
        <v>138</v>
      </c>
      <c r="D79" s="15"/>
      <c r="E79" s="23"/>
      <c r="F79" s="95" t="s">
        <v>84</v>
      </c>
      <c r="G79" s="15">
        <f t="shared" si="8"/>
        <v>0</v>
      </c>
      <c r="H79" s="23"/>
      <c r="I79" s="95" t="s">
        <v>86</v>
      </c>
      <c r="J79" s="15">
        <f t="shared" si="9"/>
        <v>0</v>
      </c>
      <c r="K79" s="23"/>
      <c r="L79" s="95" t="s">
        <v>58</v>
      </c>
      <c r="M79" s="15">
        <f t="shared" si="10"/>
        <v>0</v>
      </c>
      <c r="N79" s="23"/>
      <c r="O79" s="95" t="s">
        <v>59</v>
      </c>
      <c r="P79" s="15">
        <f t="shared" si="11"/>
        <v>0</v>
      </c>
      <c r="Q79" s="94" t="s">
        <v>27</v>
      </c>
    </row>
    <row r="80" spans="1:24" ht="15.75" thickBot="1" x14ac:dyDescent="0.3">
      <c r="A80" s="89"/>
      <c r="B80" s="15" t="s">
        <v>139</v>
      </c>
      <c r="C80" s="15" t="s">
        <v>140</v>
      </c>
      <c r="D80" s="15"/>
      <c r="E80" s="24"/>
      <c r="F80" s="97" t="s">
        <v>141</v>
      </c>
      <c r="G80" s="15">
        <f t="shared" si="8"/>
        <v>0</v>
      </c>
      <c r="H80" s="24"/>
      <c r="I80" s="97" t="s">
        <v>60</v>
      </c>
      <c r="J80" s="15">
        <f t="shared" si="9"/>
        <v>0</v>
      </c>
      <c r="K80" s="24"/>
      <c r="L80" s="97" t="s">
        <v>28</v>
      </c>
      <c r="M80" s="15">
        <f t="shared" si="10"/>
        <v>0</v>
      </c>
      <c r="N80" s="24"/>
      <c r="O80" s="97" t="s">
        <v>55</v>
      </c>
      <c r="P80" s="15">
        <f t="shared" si="11"/>
        <v>0</v>
      </c>
      <c r="Q80" s="94" t="s">
        <v>27</v>
      </c>
    </row>
    <row r="81" spans="1:21" x14ac:dyDescent="0.25">
      <c r="A81" s="89"/>
      <c r="B81" s="15"/>
      <c r="C81" s="15"/>
      <c r="D81" s="15"/>
      <c r="P81" s="15"/>
      <c r="Q81" s="94"/>
    </row>
    <row r="82" spans="1:21" hidden="1" x14ac:dyDescent="0.25">
      <c r="A82" s="15"/>
      <c r="B82" s="15"/>
      <c r="C82" s="15"/>
      <c r="D82" s="15"/>
      <c r="E82" s="98"/>
      <c r="F82" s="99" t="s">
        <v>405</v>
      </c>
      <c r="G82" s="100"/>
      <c r="H82" s="98"/>
      <c r="I82" s="99" t="s">
        <v>405</v>
      </c>
      <c r="J82" s="100"/>
      <c r="K82" s="98"/>
      <c r="L82" s="99" t="s">
        <v>405</v>
      </c>
      <c r="M82" s="100"/>
      <c r="N82" s="98"/>
      <c r="O82" s="99" t="s">
        <v>405</v>
      </c>
      <c r="P82" s="15"/>
      <c r="Q82" s="94"/>
    </row>
    <row r="83" spans="1:21" ht="15.75" thickBot="1" x14ac:dyDescent="0.3">
      <c r="A83" s="104" t="s">
        <v>142</v>
      </c>
      <c r="B83" s="89"/>
      <c r="C83" s="15"/>
      <c r="D83" s="15"/>
      <c r="E83" s="116"/>
      <c r="F83" s="17" t="s">
        <v>23</v>
      </c>
      <c r="G83" s="18"/>
      <c r="H83" s="101"/>
      <c r="I83" s="19"/>
      <c r="J83" s="18"/>
      <c r="K83" s="101"/>
      <c r="L83" s="19"/>
      <c r="M83" s="18"/>
      <c r="N83" s="101"/>
      <c r="O83" s="17" t="s">
        <v>23</v>
      </c>
      <c r="P83" s="15"/>
      <c r="Q83" s="94"/>
    </row>
    <row r="84" spans="1:21" ht="15.75" thickBot="1" x14ac:dyDescent="0.3">
      <c r="A84" s="89"/>
      <c r="B84" s="15" t="s">
        <v>143</v>
      </c>
      <c r="C84" s="15" t="s">
        <v>118</v>
      </c>
      <c r="D84" s="15"/>
      <c r="E84" s="25"/>
      <c r="F84" s="110" t="s">
        <v>28</v>
      </c>
      <c r="G84" s="15">
        <f>ROUND(IF(AND(E84&gt;0,E84&lt;10000),E84*F84,0),2)</f>
        <v>0</v>
      </c>
      <c r="H84" s="25"/>
      <c r="I84" s="110" t="s">
        <v>29</v>
      </c>
      <c r="J84" s="15">
        <f>ROUND(IF(AND(H84&gt;0,H84&lt;10000),H84*I84,0),2)</f>
        <v>0</v>
      </c>
      <c r="K84" s="25"/>
      <c r="L84" s="110" t="s">
        <v>30</v>
      </c>
      <c r="M84" s="15">
        <f>ROUND(IF(AND(K84&gt;0,K84&lt;10000),K84*L84,0),2)</f>
        <v>0</v>
      </c>
      <c r="N84" s="25"/>
      <c r="O84" s="110" t="s">
        <v>31</v>
      </c>
      <c r="P84" s="15">
        <f>ROUND(IF(AND(N84&gt;0,N84&lt;10000),N84*O84,0),2)</f>
        <v>0</v>
      </c>
      <c r="Q84" s="94"/>
    </row>
    <row r="85" spans="1:21" x14ac:dyDescent="0.25">
      <c r="A85" s="89"/>
      <c r="B85" s="15"/>
      <c r="C85" s="15"/>
      <c r="D85" s="15"/>
      <c r="P85" s="15"/>
      <c r="Q85" s="94"/>
    </row>
    <row r="86" spans="1:21" ht="15.75" thickBot="1" x14ac:dyDescent="0.3">
      <c r="A86" s="190" t="s">
        <v>396</v>
      </c>
      <c r="B86" s="15"/>
      <c r="C86" s="15"/>
      <c r="D86" s="15"/>
      <c r="P86" s="15"/>
      <c r="Q86" s="94"/>
    </row>
    <row r="87" spans="1:21" x14ac:dyDescent="0.25">
      <c r="A87" s="15"/>
      <c r="B87" s="213"/>
      <c r="C87" s="214"/>
      <c r="D87" s="15"/>
      <c r="E87" s="22"/>
      <c r="F87" s="191"/>
      <c r="G87" s="15">
        <f>ROUND(IF(AND(E87&gt;0,E87&lt;10000),E87*F87,0),2)</f>
        <v>0</v>
      </c>
      <c r="H87" s="22"/>
      <c r="I87" s="191"/>
      <c r="J87" s="15">
        <f>ROUND(IF(AND(H87&gt;0,H87&lt;10000),H87*I87,0),2)</f>
        <v>0</v>
      </c>
      <c r="K87" s="22"/>
      <c r="L87" s="191"/>
      <c r="M87" s="15">
        <f>ROUND(IF(AND(K87&gt;0,K87&lt;10000),K87*L87,0),2)</f>
        <v>0</v>
      </c>
      <c r="N87" s="22"/>
      <c r="O87" s="191"/>
      <c r="P87" s="15">
        <f>ROUND(IF(AND(N87&gt;0,N87&lt;10000),N87*O87,0),2)</f>
        <v>0</v>
      </c>
      <c r="Q87" s="94" t="s">
        <v>27</v>
      </c>
    </row>
    <row r="88" spans="1:21" ht="15.75" thickBot="1" x14ac:dyDescent="0.3">
      <c r="A88" s="15"/>
      <c r="B88" s="215"/>
      <c r="C88" s="216"/>
      <c r="D88" s="15"/>
      <c r="E88" s="24"/>
      <c r="F88" s="26"/>
      <c r="G88" s="15">
        <f>ROUND(IF(AND(E88&gt;0,E88&lt;10000),E88*F88,0),2)</f>
        <v>0</v>
      </c>
      <c r="H88" s="24"/>
      <c r="I88" s="26"/>
      <c r="J88" s="15">
        <f>ROUND(IF(AND(H88&gt;0,H88&lt;10000),H88*I88,0),2)</f>
        <v>0</v>
      </c>
      <c r="K88" s="24"/>
      <c r="L88" s="26"/>
      <c r="M88" s="15">
        <f>ROUND(IF(AND(K88&gt;0,K88&lt;10000),K88*L88,0),2)</f>
        <v>0</v>
      </c>
      <c r="N88" s="24"/>
      <c r="O88" s="26"/>
      <c r="P88" s="15">
        <f>ROUND(IF(AND(N88&gt;0,N88&lt;10000),N88*O88,0),2)</f>
        <v>0</v>
      </c>
      <c r="Q88" s="94" t="s">
        <v>27</v>
      </c>
    </row>
    <row r="89" spans="1:21" x14ac:dyDescent="0.25">
      <c r="A89" s="15"/>
      <c r="B89" s="15"/>
      <c r="C89" s="15"/>
      <c r="D89" s="15"/>
      <c r="E89" s="98"/>
      <c r="F89" s="212"/>
      <c r="G89" s="100"/>
      <c r="H89" s="98"/>
      <c r="I89" s="212"/>
      <c r="J89" s="100"/>
      <c r="K89" s="98"/>
      <c r="L89" s="212"/>
      <c r="M89" s="100"/>
      <c r="N89" s="98"/>
      <c r="O89" s="212"/>
      <c r="P89" s="15"/>
      <c r="Q89" s="94"/>
      <c r="S89" s="344"/>
      <c r="T89" s="344"/>
    </row>
    <row r="90" spans="1:21" ht="19.5" customHeight="1" x14ac:dyDescent="0.25">
      <c r="A90" s="89"/>
      <c r="B90" s="455" t="s">
        <v>402</v>
      </c>
      <c r="C90" s="456"/>
      <c r="D90" s="457"/>
      <c r="E90" s="117">
        <f>ROUND(SUM(E9:E88),2)</f>
        <v>0</v>
      </c>
      <c r="F90" s="118"/>
      <c r="G90" s="118"/>
      <c r="H90" s="117">
        <f>ROUND(SUM(H9:H88),2)</f>
        <v>0</v>
      </c>
      <c r="I90" s="118"/>
      <c r="J90" s="118"/>
      <c r="K90" s="117">
        <f>ROUND(SUM(K9:K88),2)</f>
        <v>0</v>
      </c>
      <c r="L90" s="118"/>
      <c r="M90" s="118"/>
      <c r="N90" s="117">
        <f>ROUND(SUM(N9:N88),2)</f>
        <v>0</v>
      </c>
      <c r="O90" s="89"/>
      <c r="S90" s="344"/>
      <c r="T90" s="344"/>
    </row>
    <row r="91" spans="1:21" ht="15" customHeight="1" x14ac:dyDescent="0.3">
      <c r="A91" s="89"/>
      <c r="B91" s="384" t="s">
        <v>541</v>
      </c>
      <c r="C91" s="385">
        <f>SUM(E90,H90,K90,N90)</f>
        <v>0</v>
      </c>
      <c r="D91" s="386"/>
      <c r="E91" s="361"/>
      <c r="F91" s="361"/>
      <c r="G91" s="361"/>
      <c r="H91" s="361"/>
      <c r="J91" s="365"/>
      <c r="L91" s="193"/>
      <c r="M91" s="193"/>
      <c r="N91" s="192"/>
      <c r="O91" s="89"/>
    </row>
    <row r="92" spans="1:21" s="344" customFormat="1" ht="15" customHeight="1" x14ac:dyDescent="0.3">
      <c r="A92" s="89"/>
      <c r="B92" s="384" t="s">
        <v>549</v>
      </c>
      <c r="C92" s="387">
        <f>IF($C$91=0,0,(SUM(G99:P99)/C91))</f>
        <v>0</v>
      </c>
      <c r="D92" s="386"/>
      <c r="E92" s="361"/>
      <c r="F92" s="361"/>
      <c r="G92" s="361"/>
      <c r="H92" s="361"/>
      <c r="J92" s="365"/>
      <c r="L92" s="193"/>
      <c r="M92" s="193"/>
      <c r="N92" s="192"/>
      <c r="O92" s="89"/>
      <c r="R92" s="14"/>
      <c r="S92" s="14"/>
      <c r="T92" s="14"/>
      <c r="U92" s="14"/>
    </row>
    <row r="93" spans="1:21" s="344" customFormat="1" ht="15" customHeight="1" x14ac:dyDescent="0.3">
      <c r="A93" s="89"/>
      <c r="B93" s="358"/>
      <c r="C93" s="383"/>
      <c r="D93" s="361"/>
      <c r="E93" s="361"/>
      <c r="F93" s="361"/>
      <c r="G93" s="361"/>
      <c r="H93" s="361"/>
      <c r="J93" s="365"/>
      <c r="L93" s="193"/>
      <c r="M93" s="193"/>
      <c r="N93" s="192"/>
      <c r="O93" s="89"/>
      <c r="R93" s="14"/>
      <c r="U93" s="14"/>
    </row>
    <row r="94" spans="1:21" ht="15" customHeight="1" thickBot="1" x14ac:dyDescent="0.3">
      <c r="A94" s="190" t="s">
        <v>401</v>
      </c>
      <c r="B94" s="15"/>
      <c r="C94" s="194" t="s">
        <v>403</v>
      </c>
      <c r="D94" s="15"/>
      <c r="E94" s="90" t="s">
        <v>147</v>
      </c>
      <c r="F94" s="90" t="s">
        <v>148</v>
      </c>
      <c r="G94" s="100"/>
      <c r="H94" s="98"/>
      <c r="I94" s="212"/>
      <c r="J94" s="100"/>
      <c r="K94" s="98"/>
      <c r="L94" s="212"/>
      <c r="M94" s="100"/>
      <c r="N94" s="98"/>
      <c r="O94" s="212"/>
      <c r="P94" s="15"/>
      <c r="Q94" s="94"/>
    </row>
    <row r="95" spans="1:21" x14ac:dyDescent="0.25">
      <c r="B95" s="15" t="s">
        <v>397</v>
      </c>
      <c r="C95" s="367"/>
      <c r="E95" s="368"/>
      <c r="F95" s="369"/>
      <c r="P95" s="15"/>
      <c r="Q95" s="94"/>
    </row>
    <row r="96" spans="1:21" x14ac:dyDescent="0.25">
      <c r="B96" s="15" t="s">
        <v>398</v>
      </c>
      <c r="C96" s="370"/>
      <c r="E96" s="371"/>
      <c r="F96" s="372"/>
      <c r="P96" s="15"/>
      <c r="Q96" s="94"/>
    </row>
    <row r="97" spans="1:17" x14ac:dyDescent="0.25">
      <c r="B97" s="15" t="s">
        <v>399</v>
      </c>
      <c r="C97" s="370"/>
      <c r="E97" s="371"/>
      <c r="F97" s="372"/>
      <c r="P97" s="15"/>
      <c r="Q97" s="94" t="s">
        <v>27</v>
      </c>
    </row>
    <row r="98" spans="1:17" ht="15.75" thickBot="1" x14ac:dyDescent="0.3">
      <c r="A98" s="89"/>
      <c r="B98" s="15" t="s">
        <v>400</v>
      </c>
      <c r="C98" s="373"/>
      <c r="D98" s="89"/>
      <c r="E98" s="374"/>
      <c r="F98" s="375"/>
      <c r="G98" s="89"/>
      <c r="H98" s="89"/>
      <c r="I98" s="89"/>
      <c r="J98" s="89"/>
      <c r="K98" s="89"/>
      <c r="L98" s="89"/>
      <c r="M98" s="89"/>
      <c r="N98" s="89"/>
      <c r="O98" s="89"/>
      <c r="P98" s="89"/>
    </row>
    <row r="99" spans="1:17" x14ac:dyDescent="0.25">
      <c r="A99" s="89"/>
      <c r="B99" s="89"/>
      <c r="C99" s="89"/>
      <c r="D99" s="89"/>
      <c r="E99" s="89"/>
      <c r="F99" s="89"/>
      <c r="G99" s="89">
        <f>SUM(G9:G88)</f>
        <v>0</v>
      </c>
      <c r="H99" s="89"/>
      <c r="I99" s="89"/>
      <c r="J99" s="89">
        <f>SUM(J9:J88)</f>
        <v>0</v>
      </c>
      <c r="K99" s="89"/>
      <c r="L99" s="89"/>
      <c r="M99" s="89">
        <f>SUM(M9:M88)</f>
        <v>0</v>
      </c>
      <c r="N99" s="89"/>
      <c r="O99" s="89"/>
      <c r="P99" s="89">
        <f>SUM(P9:P88)</f>
        <v>0</v>
      </c>
    </row>
    <row r="100" spans="1:17" ht="19.5" x14ac:dyDescent="0.3">
      <c r="B100" s="452" t="s">
        <v>617</v>
      </c>
      <c r="C100" s="452"/>
      <c r="D100" s="452"/>
      <c r="E100" s="452"/>
      <c r="F100" s="452"/>
      <c r="G100" s="452"/>
      <c r="H100" s="452"/>
      <c r="I100" s="452"/>
      <c r="J100" s="365"/>
      <c r="K100" s="119">
        <f>ROUND((SUM(E90:N90)+SUM(E95:E98)),2)</f>
        <v>0</v>
      </c>
      <c r="L100" s="89"/>
      <c r="M100" s="89"/>
      <c r="N100" s="89"/>
      <c r="O100" s="89"/>
    </row>
    <row r="101" spans="1:17" ht="15" customHeight="1" x14ac:dyDescent="0.35">
      <c r="A101" s="89"/>
      <c r="B101" s="21"/>
      <c r="C101" s="359"/>
      <c r="D101" s="359"/>
      <c r="E101" s="359"/>
      <c r="F101" s="360"/>
      <c r="G101" s="360"/>
      <c r="H101" s="360"/>
      <c r="I101" s="360"/>
      <c r="J101" s="120"/>
      <c r="K101" s="120"/>
      <c r="L101" s="89"/>
      <c r="M101" s="89"/>
      <c r="N101" s="89"/>
      <c r="O101" s="89"/>
    </row>
    <row r="102" spans="1:17" ht="19.5" x14ac:dyDescent="0.3">
      <c r="A102" s="89"/>
      <c r="B102" s="121"/>
      <c r="C102" s="458" t="s">
        <v>144</v>
      </c>
      <c r="D102" s="459"/>
      <c r="E102" s="459"/>
      <c r="F102" s="459"/>
      <c r="G102" s="459"/>
      <c r="H102" s="459"/>
      <c r="I102" s="459"/>
      <c r="J102" s="365"/>
      <c r="K102" s="122">
        <f>IF($K$100=0,0,(SUM(G99:P99)+E95*F95+E96*F96+E97*F97+E98*F98)/K100)</f>
        <v>0</v>
      </c>
      <c r="L102" s="89"/>
      <c r="M102" s="89"/>
      <c r="N102" s="89"/>
      <c r="O102" s="89"/>
    </row>
    <row r="103" spans="1:17" x14ac:dyDescent="0.2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9" spans="1:17" x14ac:dyDescent="0.25">
      <c r="B109" s="14" t="s">
        <v>546</v>
      </c>
    </row>
  </sheetData>
  <sheetProtection algorithmName="SHA-512" hashValue="yeoo3ih1HG70d5TnxbmX7qkUGFwe2QtY45wQ3LAArC0ewDJJnxZ9QzeSWxGMRLC7dfdXEIrX38cSYu4W99ohLg==" saltValue="JChBUhTvm6E2omsL1bYfow==" spinCount="100000" sheet="1" objects="1" scenarios="1"/>
  <mergeCells count="10">
    <mergeCell ref="B100:I100"/>
    <mergeCell ref="C6:C7"/>
    <mergeCell ref="B90:D90"/>
    <mergeCell ref="C102:I102"/>
    <mergeCell ref="E5:O5"/>
    <mergeCell ref="C1:O1"/>
    <mergeCell ref="C2:O2"/>
    <mergeCell ref="C3:O3"/>
    <mergeCell ref="C4:O4"/>
    <mergeCell ref="A5:B5"/>
  </mergeCells>
  <dataValidations count="9">
    <dataValidation allowBlank="1" showInputMessage="1" showErrorMessage="1" promptTitle="Cultivated Ag. Land Poor vs Good" prompt="Poor: Factors impair infiltration and tend to increase runoff._x000a_Good: Factors encourage average and better than average infiltration and tend to decrease runoff." sqref="C9:C42" xr:uid="{00000000-0002-0000-0000-000000000000}"/>
    <dataValidation allowBlank="1" showInputMessage="1" showErrorMessage="1" promptTitle="Pasture/Grass/Range: P vs G" prompt="Poor: &lt;50% ground cover or heavily grazed with no mulch_x000a_Fair: 50% to 75% ground cover and not heavily grazed_x000a_Good: &gt; 75% ground cover and lightly or only occasionally grazed" sqref="C44:C46" xr:uid="{00000000-0002-0000-0000-000001000000}"/>
    <dataValidation allowBlank="1" showInputMessage="1" showErrorMessage="1" promptTitle="Brush: Poor vs Good" prompt="Poor: &lt; 50% ground cover_x000a_Fair: 50 to 75% ground cover_x000a_Good: &gt; 75% ground cover" sqref="C48:C50" xr:uid="{00000000-0002-0000-0000-000002000000}"/>
    <dataValidation allowBlank="1" showInputMessage="1" showErrorMessage="1" promptTitle="Wood-Grass: Poor vs Good" prompt="Poor: &lt; 30% ground cover (litter, grass, brush)_x000a_Fair: 30-70% ground cover_x000a_Good: &gt;70% ground cover" sqref="C51:C53" xr:uid="{00000000-0002-0000-0000-000003000000}"/>
    <dataValidation allowBlank="1" showInputMessage="1" showErrorMessage="1" promptTitle="Woods: Poor vs Good" prompt="Poor: Forest, litter, small trees, and brush have been destroyed _x000a_Fair: Woods are grased but not burned, some forest litter covers the soil_x000a_Good: Woods are protected from grazing, litter and brush adequately cover the soil" sqref="C54:C56" xr:uid="{00000000-0002-0000-0000-000004000000}"/>
    <dataValidation type="list" allowBlank="1" showInputMessage="1" showErrorMessage="1" sqref="C3:D3 F3:G3 I3:J3 L3:M3 O3" xr:uid="{00000000-0002-0000-0000-000005000000}">
      <formula1>$W$59:$W$62</formula1>
    </dataValidation>
    <dataValidation type="list" allowBlank="1" showInputMessage="1" showErrorMessage="1" sqref="C4:D4 F4:G4 I4:J4 L4:M4 O4" xr:uid="{00000000-0002-0000-0000-000006000000}">
      <formula1>$W$66:$W$68</formula1>
    </dataValidation>
    <dataValidation allowBlank="1" showInputMessage="1" showErrorMessage="1" promptTitle="Background Information" prompt="Hydrologic condition is based on factors that affect infiltration and runoff including: a) density and canopy of veg. areas, b) amt. of year-round cover, c) amt. of grass or close-seeded legumes in rotations, d) % of residue cover, e) surface roughness" sqref="C8 C6" xr:uid="{00000000-0002-0000-0000-000007000000}"/>
    <dataValidation type="custom" allowBlank="1" showInputMessage="1" showErrorMessage="1" error="Enter acreage values to no more than two (2) decimal places." sqref="N9:N41 H9:H41 K9:K41 E9:E40 E41 E44:E57 H44:H57 K44:K57 N44:N57 E61:E63 H61:H63 K61:K63 N61:N63 E65 H65 K65 N65 N67:N70 H67:H70 K67:K70 E67:E69 E70 E72:E73 H72:H73 K72:K73 N72:N73 E75:E80 H75:H80 K75:K80 N75:N80 E84 H84 K84 N84 E87:E88 H87:H88 K87:K88 N87:N88 E95:E98" xr:uid="{2CA717E5-7F60-471C-914A-A21956398086}">
      <formula1>E9=ROUND(E9,2)</formula1>
    </dataValidation>
  </dataValidations>
  <pageMargins left="0.7" right="0.7" top="0.75" bottom="0.75" header="0.3" footer="0.3"/>
  <pageSetup paperSize="17" scale="74" orientation="portrait" horizontalDpi="300" verticalDpi="300" r:id="rId1"/>
  <rowBreaks count="2" manualBreakCount="2">
    <brk id="42" max="16383" man="1"/>
    <brk id="10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locked="0" defaultSize="0" print="0" autoFill="0" autoPict="0" macro="[0]!clearRCN_button">
                <anchor moveWithCells="1" sizeWithCells="1">
                  <from>
                    <xdr:col>18</xdr:col>
                    <xdr:colOff>47625</xdr:colOff>
                    <xdr:row>91</xdr:row>
                    <xdr:rowOff>57150</xdr:rowOff>
                  </from>
                  <to>
                    <xdr:col>20</xdr:col>
                    <xdr:colOff>47625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Button 3">
              <controlPr locked="0" defaultSize="0" print="0" autoFill="0" autoPict="0" macro="[0]!clearRCN_button">
                <anchor moveWithCells="1" sizeWithCells="1">
                  <from>
                    <xdr:col>18</xdr:col>
                    <xdr:colOff>57150</xdr:colOff>
                    <xdr:row>8</xdr:row>
                    <xdr:rowOff>28575</xdr:rowOff>
                  </from>
                  <to>
                    <xdr:col>20</xdr:col>
                    <xdr:colOff>57150</xdr:colOff>
                    <xdr:row>9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N87"/>
  <sheetViews>
    <sheetView zoomScaleNormal="100" workbookViewId="0">
      <selection activeCell="B7" sqref="B7"/>
    </sheetView>
  </sheetViews>
  <sheetFormatPr defaultRowHeight="15" x14ac:dyDescent="0.25"/>
  <cols>
    <col min="1" max="1" width="64.7109375" style="14" customWidth="1"/>
    <col min="2" max="5" width="9.140625" style="14"/>
    <col min="6" max="12" width="7.7109375" style="14" customWidth="1"/>
    <col min="13" max="13" width="7.28515625" style="14" customWidth="1"/>
    <col min="14" max="15" width="9.140625" style="14" customWidth="1"/>
    <col min="16" max="16384" width="9.140625" style="14"/>
  </cols>
  <sheetData>
    <row r="1" spans="1:14" ht="15.75" x14ac:dyDescent="0.25">
      <c r="A1" s="82" t="s">
        <v>4</v>
      </c>
      <c r="B1" s="470">
        <f>'C.A. RCN'!C1</f>
        <v>0</v>
      </c>
      <c r="C1" s="470"/>
      <c r="D1" s="470"/>
      <c r="E1" s="470"/>
      <c r="F1" s="470"/>
      <c r="G1" s="470"/>
      <c r="H1" s="470"/>
      <c r="I1" s="470"/>
      <c r="J1" s="470"/>
      <c r="K1" s="470"/>
    </row>
    <row r="2" spans="1:14" ht="15.75" x14ac:dyDescent="0.25">
      <c r="A2" s="82" t="s">
        <v>7</v>
      </c>
      <c r="B2" s="470">
        <f>'C.A. RCN'!C2</f>
        <v>0</v>
      </c>
      <c r="C2" s="470"/>
      <c r="D2" s="470"/>
      <c r="E2" s="470"/>
      <c r="F2" s="470"/>
      <c r="G2" s="470"/>
      <c r="H2" s="470"/>
      <c r="I2" s="470"/>
      <c r="J2" s="470"/>
      <c r="K2" s="470"/>
    </row>
    <row r="3" spans="1:14" ht="15.75" x14ac:dyDescent="0.25">
      <c r="A3" s="82" t="s">
        <v>205</v>
      </c>
      <c r="B3" s="470">
        <f>'C.A. RCN'!C3</f>
        <v>0</v>
      </c>
      <c r="C3" s="470"/>
      <c r="D3" s="470"/>
      <c r="E3" s="470"/>
      <c r="F3" s="470"/>
      <c r="G3" s="470"/>
      <c r="H3" s="470"/>
      <c r="I3" s="470"/>
      <c r="J3" s="470"/>
      <c r="K3" s="470"/>
    </row>
    <row r="4" spans="1:14" ht="15.75" x14ac:dyDescent="0.25">
      <c r="A4" s="82" t="s">
        <v>211</v>
      </c>
      <c r="B4" s="470">
        <f>'C.A. RCN'!C4</f>
        <v>0</v>
      </c>
      <c r="C4" s="470"/>
      <c r="D4" s="470"/>
      <c r="E4" s="470"/>
      <c r="F4" s="470"/>
      <c r="G4" s="470"/>
      <c r="H4" s="470"/>
      <c r="I4" s="470"/>
      <c r="J4" s="470"/>
      <c r="K4" s="470"/>
    </row>
    <row r="5" spans="1:14" ht="16.5" thickBot="1" x14ac:dyDescent="0.3">
      <c r="A5" s="388" t="s">
        <v>292</v>
      </c>
      <c r="B5" s="123"/>
      <c r="C5" s="123"/>
      <c r="D5" s="123"/>
      <c r="E5" s="123"/>
      <c r="F5" s="124"/>
      <c r="G5" s="124"/>
      <c r="H5" s="124"/>
      <c r="I5" s="124"/>
      <c r="J5" s="124"/>
      <c r="K5" s="124"/>
    </row>
    <row r="6" spans="1:14" ht="16.5" customHeight="1" thickBot="1" x14ac:dyDescent="0.3">
      <c r="A6" s="125" t="s">
        <v>366</v>
      </c>
      <c r="B6" s="126" t="s">
        <v>150</v>
      </c>
      <c r="C6" s="126" t="s">
        <v>151</v>
      </c>
      <c r="D6" s="126" t="s">
        <v>152</v>
      </c>
      <c r="E6" s="126" t="s">
        <v>153</v>
      </c>
    </row>
    <row r="7" spans="1:14" x14ac:dyDescent="0.25">
      <c r="A7" s="127" t="s">
        <v>337</v>
      </c>
      <c r="B7" s="409"/>
      <c r="C7" s="413"/>
      <c r="D7" s="409"/>
      <c r="E7" s="409"/>
    </row>
    <row r="8" spans="1:14" x14ac:dyDescent="0.25">
      <c r="A8" s="127" t="s">
        <v>338</v>
      </c>
      <c r="B8" s="410"/>
      <c r="C8" s="414"/>
      <c r="D8" s="410"/>
      <c r="E8" s="410"/>
    </row>
    <row r="9" spans="1:14" x14ac:dyDescent="0.25">
      <c r="A9" s="168" t="s">
        <v>339</v>
      </c>
      <c r="B9" s="411"/>
      <c r="C9" s="415"/>
      <c r="D9" s="411"/>
      <c r="E9" s="411"/>
    </row>
    <row r="10" spans="1:14" x14ac:dyDescent="0.25">
      <c r="A10" s="396" t="s">
        <v>340</v>
      </c>
      <c r="B10" s="410"/>
      <c r="C10" s="414"/>
      <c r="D10" s="410"/>
      <c r="E10" s="410"/>
    </row>
    <row r="11" spans="1:14" ht="15.75" customHeight="1" thickBot="1" x14ac:dyDescent="0.3">
      <c r="A11" s="127" t="s">
        <v>341</v>
      </c>
      <c r="B11" s="412">
        <f>IF(B7=0,0,B10/B7)</f>
        <v>0</v>
      </c>
      <c r="C11" s="412">
        <f t="shared" ref="C11:E11" si="0">IF(C7=0,0,C10/C7)</f>
        <v>0</v>
      </c>
      <c r="D11" s="412">
        <f t="shared" si="0"/>
        <v>0</v>
      </c>
      <c r="E11" s="412">
        <f t="shared" si="0"/>
        <v>0</v>
      </c>
      <c r="N11" s="137"/>
    </row>
    <row r="12" spans="1:14" x14ac:dyDescent="0.25">
      <c r="A12" s="128"/>
      <c r="B12" s="129"/>
      <c r="C12" s="129"/>
      <c r="D12" s="129"/>
      <c r="E12" s="129"/>
    </row>
    <row r="13" spans="1:14" ht="16.5" thickBot="1" x14ac:dyDescent="0.3">
      <c r="A13" s="130" t="s">
        <v>389</v>
      </c>
      <c r="B13" s="129"/>
      <c r="C13" s="129"/>
      <c r="D13" s="129"/>
      <c r="E13" s="129"/>
    </row>
    <row r="14" spans="1:14" x14ac:dyDescent="0.25">
      <c r="A14" s="159" t="s">
        <v>369</v>
      </c>
      <c r="B14" s="131">
        <f>IF(B7=0,0,(B11*98)+((1-B11)*39))</f>
        <v>0</v>
      </c>
      <c r="C14" s="132">
        <f>IF(C7=0,0,(C11*98)+((1-C11)*61))</f>
        <v>0</v>
      </c>
      <c r="D14" s="132">
        <f>IF(D7=0,0,(D11*98)+((1-D11)*74))</f>
        <v>0</v>
      </c>
      <c r="E14" s="133">
        <f>IF(E7=0,0,(E11*98)+((1-E11)*80))</f>
        <v>0</v>
      </c>
    </row>
    <row r="15" spans="1:14" x14ac:dyDescent="0.25">
      <c r="A15" s="168" t="s">
        <v>370</v>
      </c>
      <c r="B15" s="134">
        <f>IF(B7=0,0,((2.7-(0.05*(1000/B14-10)))^2/(2.7+(0.95*(1000/B14-10)))))</f>
        <v>0</v>
      </c>
      <c r="C15" s="135">
        <f t="shared" ref="C15:E15" si="1">IF(C7=0,0,((2.7-(0.05*(1000/C14-10)))^2/(2.7+(0.95*(1000/C14-10)))))</f>
        <v>0</v>
      </c>
      <c r="D15" s="135">
        <f t="shared" si="1"/>
        <v>0</v>
      </c>
      <c r="E15" s="136">
        <f t="shared" si="1"/>
        <v>0</v>
      </c>
    </row>
    <row r="16" spans="1:14" x14ac:dyDescent="0.25">
      <c r="A16" s="168" t="s">
        <v>588</v>
      </c>
      <c r="B16" s="134">
        <f>IF(B7=0,0,IF(B9&gt;0,((((B8*30)+(B9*0.85*98)+((B7-B8-(B9*0.85))*39)))/B7),((((B8*30)+((B7-B8)*39)))/B7)))</f>
        <v>0</v>
      </c>
      <c r="C16" s="135">
        <f>IF(C7=0,0,IF(C9&gt;0,((((C8*55)+(C9*0.85*98)+((C7-C8-(C9*0.85))*61)))/C7),((((C8*55)+((C7-C8)*61)))/C7)))</f>
        <v>0</v>
      </c>
      <c r="D16" s="135">
        <f>IF(D7=0,0,IF(D9&gt;0,((((D8*70)+(D9*0.85*98)+((D7-D8-(D9*0.85))*74)))/D7),((((D8*70)+((D7-D8)*74)))/D7)))</f>
        <v>0</v>
      </c>
      <c r="E16" s="136">
        <f>IF(E7=0,0,IF(E9&gt;0,((((E8*77)+(E9*0.85*98)+((E7-E8-(E9*0.85))*80)))/E7),((((E8*77)+((E7-E8)*80)))/E7)))</f>
        <v>0</v>
      </c>
    </row>
    <row r="17" spans="1:13" s="344" customFormat="1" ht="15.75" thickBot="1" x14ac:dyDescent="0.3">
      <c r="A17" s="168" t="s">
        <v>583</v>
      </c>
      <c r="B17" s="416">
        <f>IF(B7=0,0,((2.7-(0.05*(1000/B16-10)))^2/(2.7+(0.95*(1000/B16-10)))))</f>
        <v>0</v>
      </c>
      <c r="C17" s="417">
        <f>IF(C7=0,0,((2.7-(0.05*(1000/C16-10)))^2/(2.7+(0.95*(1000/C16-10)))))</f>
        <v>0</v>
      </c>
      <c r="D17" s="417">
        <f>IF(D7=0,0,((2.7-(0.05*(1000/D16-10)))^2/(2.7+(0.95*(1000/D16-10)))))</f>
        <v>0</v>
      </c>
      <c r="E17" s="418">
        <f>IF(E7=0,0,((2.7-(0.05*(1000/E16-10)))^2/(2.7+(0.95*(1000/E16-10)))))</f>
        <v>0</v>
      </c>
      <c r="M17" s="14"/>
    </row>
    <row r="18" spans="1:13" ht="15.75" customHeight="1" thickBot="1" x14ac:dyDescent="0.3">
      <c r="A18" s="168"/>
    </row>
    <row r="19" spans="1:13" x14ac:dyDescent="0.25">
      <c r="A19" s="217" t="s">
        <v>584</v>
      </c>
      <c r="B19" s="471">
        <f>B7+C7+D7+E7</f>
        <v>0</v>
      </c>
      <c r="C19" s="472"/>
      <c r="D19" s="472"/>
      <c r="E19" s="473"/>
    </row>
    <row r="20" spans="1:13" x14ac:dyDescent="0.25">
      <c r="A20" s="217" t="s">
        <v>585</v>
      </c>
      <c r="B20" s="474">
        <f>IF(B19=0,0,((B7*B14)+(C7*C14)+(D7*D14)+(E7*E14))/B19)</f>
        <v>0</v>
      </c>
      <c r="C20" s="475"/>
      <c r="D20" s="475"/>
      <c r="E20" s="476"/>
    </row>
    <row r="21" spans="1:13" x14ac:dyDescent="0.25">
      <c r="A21" s="315" t="s">
        <v>586</v>
      </c>
      <c r="B21" s="474">
        <f>ROUND(IF(B19=0,0,(2.7-(0.05*(1000/B20-10)))^2/(2.7+(0.95*(1000/B20-10)))),2)</f>
        <v>0</v>
      </c>
      <c r="C21" s="475"/>
      <c r="D21" s="475"/>
      <c r="E21" s="476"/>
    </row>
    <row r="22" spans="1:13" ht="15.75" thickBot="1" x14ac:dyDescent="0.3">
      <c r="A22" s="168" t="s">
        <v>587</v>
      </c>
      <c r="B22" s="477">
        <f>IF(B19=0,0,((B7*B17)+(C7*C17)+(D7*D17)+(E7*E17))/B19)</f>
        <v>0</v>
      </c>
      <c r="C22" s="478"/>
      <c r="D22" s="478"/>
      <c r="E22" s="479"/>
    </row>
    <row r="23" spans="1:13" ht="15.75" thickBot="1" x14ac:dyDescent="0.3">
      <c r="A23" s="218"/>
      <c r="B23" s="184"/>
      <c r="C23" s="184"/>
      <c r="D23" s="184"/>
      <c r="E23" s="184"/>
    </row>
    <row r="24" spans="1:13" ht="16.5" thickBot="1" x14ac:dyDescent="0.3">
      <c r="A24" s="219" t="s">
        <v>488</v>
      </c>
      <c r="B24" s="185" t="s">
        <v>361</v>
      </c>
      <c r="C24" s="185" t="s">
        <v>362</v>
      </c>
      <c r="D24" s="185" t="s">
        <v>363</v>
      </c>
      <c r="E24" s="185" t="s">
        <v>364</v>
      </c>
    </row>
    <row r="25" spans="1:13" x14ac:dyDescent="0.25">
      <c r="A25" s="159" t="s">
        <v>414</v>
      </c>
      <c r="B25" s="419" t="str">
        <f>IF('C.A. RCN'!C95&lt;=0," ",'C.A. RCN'!C95)</f>
        <v xml:space="preserve"> </v>
      </c>
      <c r="C25" s="419" t="str">
        <f>IF('C.A. RCN'!C96&lt;=0," ",'C.A. RCN'!C96)</f>
        <v xml:space="preserve"> </v>
      </c>
      <c r="D25" s="419" t="str">
        <f>IF('C.A. RCN'!C97&lt;=0," ",'C.A. RCN'!C97)</f>
        <v xml:space="preserve"> </v>
      </c>
      <c r="E25" s="419" t="str">
        <f>IF('C.A. RCN'!C98&lt;=0," ",'C.A. RCN'!C98)</f>
        <v xml:space="preserve"> </v>
      </c>
    </row>
    <row r="26" spans="1:13" x14ac:dyDescent="0.25">
      <c r="A26" s="159" t="s">
        <v>594</v>
      </c>
      <c r="B26" s="376"/>
      <c r="C26" s="377"/>
      <c r="D26" s="377"/>
      <c r="E26" s="378"/>
    </row>
    <row r="27" spans="1:13" x14ac:dyDescent="0.25">
      <c r="A27" s="168" t="s">
        <v>391</v>
      </c>
      <c r="B27" s="376"/>
      <c r="C27" s="377"/>
      <c r="D27" s="377"/>
      <c r="E27" s="378"/>
    </row>
    <row r="28" spans="1:13" x14ac:dyDescent="0.25">
      <c r="A28" s="159" t="s">
        <v>371</v>
      </c>
      <c r="B28" s="376"/>
      <c r="C28" s="377"/>
      <c r="D28" s="377"/>
      <c r="E28" s="378"/>
    </row>
    <row r="29" spans="1:13" x14ac:dyDescent="0.25">
      <c r="A29" s="159" t="s">
        <v>372</v>
      </c>
      <c r="B29" s="376"/>
      <c r="C29" s="377"/>
      <c r="D29" s="377"/>
      <c r="E29" s="378"/>
    </row>
    <row r="30" spans="1:13" x14ac:dyDescent="0.25">
      <c r="A30" s="159" t="s">
        <v>373</v>
      </c>
      <c r="B30" s="376"/>
      <c r="C30" s="377"/>
      <c r="D30" s="377"/>
      <c r="E30" s="378"/>
    </row>
    <row r="31" spans="1:13" ht="15.75" thickBot="1" x14ac:dyDescent="0.3">
      <c r="A31" s="159" t="s">
        <v>374</v>
      </c>
      <c r="B31" s="379"/>
      <c r="C31" s="380"/>
      <c r="D31" s="380"/>
      <c r="E31" s="381"/>
    </row>
    <row r="32" spans="1:13" ht="15.75" x14ac:dyDescent="0.25">
      <c r="A32" s="220"/>
    </row>
    <row r="33" spans="1:5" ht="16.5" thickBot="1" x14ac:dyDescent="0.3">
      <c r="A33" s="221" t="s">
        <v>392</v>
      </c>
      <c r="B33" s="138"/>
      <c r="C33" s="138"/>
      <c r="D33" s="138"/>
      <c r="E33" s="138"/>
    </row>
    <row r="34" spans="1:5" x14ac:dyDescent="0.25">
      <c r="A34" s="168" t="s">
        <v>367</v>
      </c>
      <c r="B34" s="467">
        <f>B19+B26+C26+D26+E26</f>
        <v>0</v>
      </c>
      <c r="C34" s="468"/>
      <c r="D34" s="468"/>
      <c r="E34" s="469"/>
    </row>
    <row r="35" spans="1:5" x14ac:dyDescent="0.25">
      <c r="A35" s="168" t="s">
        <v>375</v>
      </c>
      <c r="B35" s="461" t="e">
        <f>(B20*B19+B28*B26+C28*C26+D28*D26+E28*E26)/B34</f>
        <v>#DIV/0!</v>
      </c>
      <c r="C35" s="462"/>
      <c r="D35" s="462"/>
      <c r="E35" s="463"/>
    </row>
    <row r="36" spans="1:5" x14ac:dyDescent="0.25">
      <c r="A36" s="168" t="s">
        <v>376</v>
      </c>
      <c r="B36" s="461" t="e">
        <f>(B21*B19+B29*B26+C29*C26+D29*D26+E29*E26)/B34</f>
        <v>#DIV/0!</v>
      </c>
      <c r="C36" s="462"/>
      <c r="D36" s="462"/>
      <c r="E36" s="463"/>
    </row>
    <row r="37" spans="1:5" x14ac:dyDescent="0.25">
      <c r="A37" s="168" t="s">
        <v>393</v>
      </c>
      <c r="B37" s="461" t="e">
        <f>(B22*B19+B27*B26+C27*C26+D27*D26+E27*E26)/B34</f>
        <v>#DIV/0!</v>
      </c>
      <c r="C37" s="462"/>
      <c r="D37" s="462"/>
      <c r="E37" s="463"/>
    </row>
    <row r="38" spans="1:5" x14ac:dyDescent="0.25">
      <c r="A38" s="168" t="s">
        <v>394</v>
      </c>
      <c r="B38" s="461" t="e">
        <f>0.000004*B35^3.5</f>
        <v>#DIV/0!</v>
      </c>
      <c r="C38" s="462"/>
      <c r="D38" s="462"/>
      <c r="E38" s="463"/>
    </row>
    <row r="39" spans="1:5" x14ac:dyDescent="0.25">
      <c r="A39" s="168" t="s">
        <v>562</v>
      </c>
      <c r="B39" s="461" t="e">
        <f>IF(B36-B37&gt;1,1,B36-B37)</f>
        <v>#DIV/0!</v>
      </c>
      <c r="C39" s="462"/>
      <c r="D39" s="462"/>
      <c r="E39" s="463"/>
    </row>
    <row r="40" spans="1:5" ht="15.75" thickBot="1" x14ac:dyDescent="0.3">
      <c r="A40" s="168" t="s">
        <v>563</v>
      </c>
      <c r="B40" s="464" t="e">
        <f>B39/B36</f>
        <v>#DIV/0!</v>
      </c>
      <c r="C40" s="465"/>
      <c r="D40" s="465"/>
      <c r="E40" s="466"/>
    </row>
    <row r="41" spans="1:5" x14ac:dyDescent="0.25">
      <c r="B41" s="129"/>
      <c r="C41" s="129"/>
      <c r="D41" s="129"/>
      <c r="E41" s="129"/>
    </row>
    <row r="51" spans="1:1" x14ac:dyDescent="0.25">
      <c r="A51" s="139"/>
    </row>
    <row r="87" spans="3:6" x14ac:dyDescent="0.25">
      <c r="C87" s="194"/>
      <c r="D87" s="15"/>
      <c r="E87" s="90"/>
      <c r="F87" s="90"/>
    </row>
  </sheetData>
  <sheetProtection algorithmName="SHA-512" hashValue="Hmo0+6tpvZJr7BdZMA/nBOwpssIf1Efta44bck6kUU4PRDB+3SlvejJEqfMMNkEY0mmYwdoBoY9ZbIuA1RMU7A==" saltValue="4KjwwVpw+oUsw+zRkPxupg==" spinCount="100000" sheet="1" objects="1" scenarios="1"/>
  <mergeCells count="15">
    <mergeCell ref="B1:K1"/>
    <mergeCell ref="B2:K2"/>
    <mergeCell ref="B36:E36"/>
    <mergeCell ref="B19:E19"/>
    <mergeCell ref="B35:E35"/>
    <mergeCell ref="B3:K3"/>
    <mergeCell ref="B4:K4"/>
    <mergeCell ref="B21:E21"/>
    <mergeCell ref="B20:E20"/>
    <mergeCell ref="B22:E22"/>
    <mergeCell ref="B39:E39"/>
    <mergeCell ref="B40:E40"/>
    <mergeCell ref="B38:E38"/>
    <mergeCell ref="B37:E37"/>
    <mergeCell ref="B34:E34"/>
  </mergeCells>
  <dataValidations count="1">
    <dataValidation type="custom" allowBlank="1" showInputMessage="1" showErrorMessage="1" error="Enter acreage values to no more than two (2) decimal places." sqref="B7:E10 B26:E26" xr:uid="{F61E59FB-C4AE-422E-816C-A384D6FC438C}">
      <formula1>B7=ROUND(B7,2)</formula1>
    </dataValidation>
  </dataValidations>
  <pageMargins left="0.7" right="0.7" top="0.75" bottom="0.75" header="0.3" footer="0.3"/>
  <pageSetup paperSize="17" orientation="portrait" horizontalDpi="300" verticalDpi="300" r:id="rId1"/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locked="0" defaultSize="0" print="0" autoFill="0" autoPict="0" macro="[0]!resetLOD_button">
                <anchor moveWithCells="1" sizeWithCells="1">
                  <from>
                    <xdr:col>6</xdr:col>
                    <xdr:colOff>28575</xdr:colOff>
                    <xdr:row>5</xdr:row>
                    <xdr:rowOff>9525</xdr:rowOff>
                  </from>
                  <to>
                    <xdr:col>7</xdr:col>
                    <xdr:colOff>485775</xdr:colOff>
                    <xdr:row>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V113"/>
  <sheetViews>
    <sheetView zoomScale="80" zoomScaleNormal="80" workbookViewId="0">
      <selection activeCell="A79" sqref="A79"/>
    </sheetView>
  </sheetViews>
  <sheetFormatPr defaultRowHeight="15" x14ac:dyDescent="0.25"/>
  <cols>
    <col min="1" max="1" width="38" style="51" customWidth="1"/>
    <col min="2" max="2" width="10.140625" style="51" customWidth="1"/>
    <col min="3" max="3" width="9.7109375" style="51" customWidth="1"/>
    <col min="4" max="4" width="9.140625" style="51"/>
    <col min="5" max="5" width="10.7109375" style="51" customWidth="1"/>
    <col min="6" max="6" width="14.140625" style="51" customWidth="1"/>
    <col min="7" max="7" width="12.42578125" style="51" customWidth="1"/>
    <col min="8" max="8" width="8.85546875" style="51" customWidth="1"/>
    <col min="9" max="12" width="9.140625" style="51"/>
    <col min="13" max="13" width="8.28515625" style="51" hidden="1" customWidth="1"/>
    <col min="14" max="14" width="18.85546875" style="51" hidden="1" customWidth="1"/>
    <col min="15" max="17" width="9.140625" style="51" hidden="1" customWidth="1"/>
    <col min="18" max="18" width="13" style="51" hidden="1" customWidth="1"/>
    <col min="19" max="22" width="9.140625" style="51" hidden="1" customWidth="1"/>
    <col min="23" max="16384" width="9.140625" style="51"/>
  </cols>
  <sheetData>
    <row r="1" spans="1:16" ht="15.75" x14ac:dyDescent="0.25">
      <c r="A1" s="82" t="s">
        <v>4</v>
      </c>
      <c r="B1" s="470">
        <f>'C.A. RCN'!C1</f>
        <v>0</v>
      </c>
      <c r="C1" s="470"/>
      <c r="D1" s="470"/>
      <c r="E1" s="470"/>
      <c r="F1" s="470"/>
      <c r="G1" s="470"/>
      <c r="H1" s="470"/>
      <c r="I1" s="470"/>
      <c r="J1" s="470"/>
      <c r="K1" s="470"/>
      <c r="L1" s="45"/>
    </row>
    <row r="2" spans="1:16" ht="15.75" x14ac:dyDescent="0.25">
      <c r="A2" s="82" t="s">
        <v>7</v>
      </c>
      <c r="B2" s="470">
        <f>'C.A. RCN'!C2</f>
        <v>0</v>
      </c>
      <c r="C2" s="470"/>
      <c r="D2" s="470"/>
      <c r="E2" s="470"/>
      <c r="F2" s="470"/>
      <c r="G2" s="470"/>
      <c r="H2" s="470"/>
      <c r="I2" s="470"/>
      <c r="J2" s="470"/>
      <c r="K2" s="470"/>
      <c r="L2" s="45"/>
    </row>
    <row r="3" spans="1:16" ht="15.75" x14ac:dyDescent="0.25">
      <c r="A3" s="82" t="s">
        <v>205</v>
      </c>
      <c r="B3" s="470">
        <f>'C.A. RCN'!C3</f>
        <v>0</v>
      </c>
      <c r="C3" s="470"/>
      <c r="D3" s="470"/>
      <c r="E3" s="470"/>
      <c r="F3" s="470"/>
      <c r="G3" s="470"/>
      <c r="H3" s="470"/>
      <c r="I3" s="470"/>
      <c r="J3" s="470"/>
      <c r="K3" s="470"/>
      <c r="L3" s="45"/>
    </row>
    <row r="4" spans="1:16" ht="15.75" x14ac:dyDescent="0.25">
      <c r="A4" s="82" t="s">
        <v>211</v>
      </c>
      <c r="B4" s="470">
        <f>'C.A. RCN'!C4</f>
        <v>0</v>
      </c>
      <c r="C4" s="470"/>
      <c r="D4" s="470"/>
      <c r="E4" s="470"/>
      <c r="F4" s="470"/>
      <c r="G4" s="470"/>
      <c r="H4" s="470"/>
      <c r="I4" s="470"/>
      <c r="J4" s="470"/>
      <c r="K4" s="470"/>
      <c r="L4" s="45"/>
    </row>
    <row r="5" spans="1:16" x14ac:dyDescent="0.25">
      <c r="A5" s="480" t="s">
        <v>293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38"/>
      <c r="N5" s="482" t="s">
        <v>490</v>
      </c>
      <c r="O5" s="482"/>
      <c r="P5" s="482"/>
    </row>
    <row r="6" spans="1:16" ht="15.75" thickBot="1" x14ac:dyDescent="0.3">
      <c r="A6" s="451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38"/>
      <c r="N6" s="34" t="s">
        <v>206</v>
      </c>
      <c r="O6" s="34" t="s">
        <v>169</v>
      </c>
      <c r="P6" s="34" t="s">
        <v>170</v>
      </c>
    </row>
    <row r="7" spans="1:16" ht="15.75" x14ac:dyDescent="0.25">
      <c r="A7" s="224" t="s">
        <v>342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38"/>
      <c r="N7" s="51" t="s">
        <v>207</v>
      </c>
      <c r="O7" s="31">
        <v>5.2</v>
      </c>
      <c r="P7" s="31">
        <v>8.9</v>
      </c>
    </row>
    <row r="8" spans="1:16" x14ac:dyDescent="0.25">
      <c r="A8" s="127" t="s">
        <v>343</v>
      </c>
      <c r="B8" s="225" t="str">
        <f>IF('C.A. RCN'!C91=LOD!B19,"N/A",'C.A. RCN'!C91)</f>
        <v>N/A</v>
      </c>
      <c r="C8" s="14"/>
      <c r="D8" s="14"/>
      <c r="E8" s="14"/>
      <c r="F8" s="14"/>
      <c r="G8" s="14"/>
      <c r="H8" s="14"/>
      <c r="I8" s="14"/>
      <c r="J8" s="14"/>
      <c r="K8" s="14"/>
      <c r="N8" s="51" t="s">
        <v>208</v>
      </c>
      <c r="O8" s="31">
        <v>4.8</v>
      </c>
      <c r="P8" s="31">
        <v>8</v>
      </c>
    </row>
    <row r="9" spans="1:16" x14ac:dyDescent="0.25">
      <c r="A9" s="127" t="s">
        <v>344</v>
      </c>
      <c r="B9" s="226" t="str">
        <f>IF('C.A. RCN'!C91=LOD!B19,"N/A",'C.A. RCN'!C92)</f>
        <v>N/A</v>
      </c>
      <c r="C9" s="14"/>
      <c r="D9" s="14"/>
      <c r="E9" s="14"/>
      <c r="F9" s="14"/>
      <c r="G9" s="14"/>
      <c r="H9" s="14"/>
      <c r="I9" s="14"/>
      <c r="J9" s="14"/>
      <c r="K9" s="14"/>
      <c r="N9" s="347" t="s">
        <v>209</v>
      </c>
      <c r="O9" s="31">
        <v>5.3</v>
      </c>
      <c r="P9" s="31">
        <v>9.1999999999999993</v>
      </c>
    </row>
    <row r="10" spans="1:16" x14ac:dyDescent="0.25">
      <c r="A10" s="127" t="s">
        <v>345</v>
      </c>
      <c r="B10" s="225" t="str">
        <f>IF('C.A. RCN'!C91=LOD!B19,"N/A",LOD!B19)</f>
        <v>N/A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6" x14ac:dyDescent="0.25">
      <c r="A11" s="127" t="s">
        <v>346</v>
      </c>
      <c r="B11" s="226" t="str">
        <f>IF('C.A. RCN'!C91=LOD!B19,"N/A",LOD!B20)</f>
        <v>N/A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6" x14ac:dyDescent="0.25">
      <c r="A12" s="168" t="s">
        <v>347</v>
      </c>
      <c r="B12" s="227" t="str">
        <f>IF('C.A. RCN'!K100=LOD!B34,"N/A",B8-B10)</f>
        <v>N/A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6" x14ac:dyDescent="0.25">
      <c r="A13" s="168" t="s">
        <v>348</v>
      </c>
      <c r="B13" s="228" t="str">
        <f>IF(B12="N/A","N/A",((B8*B9)-(B10*B11))/B12)</f>
        <v>N/A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6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6" s="50" customFormat="1" ht="15.75" thickBot="1" x14ac:dyDescent="0.3">
      <c r="A15" s="229"/>
      <c r="B15" s="229"/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6" ht="15.75" x14ac:dyDescent="0.25">
      <c r="A16" s="230" t="s">
        <v>349</v>
      </c>
      <c r="B16" s="183">
        <v>2.1</v>
      </c>
      <c r="C16" s="183">
        <v>2.2000000000000002</v>
      </c>
      <c r="D16" s="183">
        <v>2.2999999999999998</v>
      </c>
      <c r="E16" s="341">
        <v>2.4</v>
      </c>
      <c r="F16" s="183">
        <v>2.5</v>
      </c>
      <c r="G16" s="183">
        <v>2.6</v>
      </c>
      <c r="H16" s="14"/>
    </row>
    <row r="17" spans="1:15" x14ac:dyDescent="0.25">
      <c r="A17" s="14"/>
      <c r="B17" s="183" t="s">
        <v>181</v>
      </c>
      <c r="C17" s="183" t="s">
        <v>180</v>
      </c>
      <c r="D17" s="183" t="s">
        <v>179</v>
      </c>
      <c r="E17" s="341" t="s">
        <v>511</v>
      </c>
      <c r="F17" s="183" t="s">
        <v>178</v>
      </c>
      <c r="G17" s="183" t="s">
        <v>177</v>
      </c>
      <c r="H17" s="14"/>
    </row>
    <row r="18" spans="1:15" x14ac:dyDescent="0.25">
      <c r="A18" s="231" t="s">
        <v>182</v>
      </c>
      <c r="B18" s="183" t="s">
        <v>174</v>
      </c>
      <c r="C18" s="183" t="s">
        <v>176</v>
      </c>
      <c r="D18" s="183" t="s">
        <v>175</v>
      </c>
      <c r="E18" s="341" t="s">
        <v>303</v>
      </c>
      <c r="F18" s="183" t="s">
        <v>173</v>
      </c>
      <c r="G18" s="183" t="s">
        <v>198</v>
      </c>
      <c r="H18" s="14"/>
      <c r="I18" s="4"/>
      <c r="M18" s="481" t="s">
        <v>518</v>
      </c>
      <c r="N18" s="481"/>
      <c r="O18" s="62" t="s">
        <v>311</v>
      </c>
    </row>
    <row r="19" spans="1:15" x14ac:dyDescent="0.25">
      <c r="A19" s="232" t="s">
        <v>199</v>
      </c>
      <c r="B19" s="172"/>
      <c r="C19" s="172"/>
      <c r="D19" s="176"/>
      <c r="E19" s="345" t="str">
        <f>IF(D19&gt;0,(VLOOKUP(D19,M20:O29,3,FALSE)),"-----------")</f>
        <v>-----------</v>
      </c>
      <c r="F19" s="233" t="s">
        <v>189</v>
      </c>
      <c r="G19" s="135">
        <f>IF(B19&gt;0,(0.007*(E19*B19)^0.8)/((O31)^0.5*(C19)^0.4),0)</f>
        <v>0</v>
      </c>
      <c r="H19" s="14"/>
      <c r="I19" s="4"/>
      <c r="M19" s="481"/>
      <c r="N19" s="481"/>
      <c r="O19" s="62" t="s">
        <v>303</v>
      </c>
    </row>
    <row r="20" spans="1:15" x14ac:dyDescent="0.25">
      <c r="A20" s="232"/>
      <c r="B20" s="172"/>
      <c r="C20" s="172"/>
      <c r="D20" s="176"/>
      <c r="E20" s="345" t="str">
        <f>IF(D20&gt;0,(VLOOKUP(D20,M20:O29,3,FALSE)),"-----------")</f>
        <v>-----------</v>
      </c>
      <c r="F20" s="233" t="s">
        <v>189</v>
      </c>
      <c r="G20" s="135">
        <f>IF(B20&gt;0,(0.007*(E20*B20)^0.8)/((O31)^0.5*(C20)^0.4),0)</f>
        <v>0</v>
      </c>
      <c r="H20" s="14"/>
      <c r="I20" s="4"/>
      <c r="M20" s="348" t="s">
        <v>517</v>
      </c>
      <c r="N20" s="348" t="s">
        <v>519</v>
      </c>
      <c r="O20" s="32">
        <v>1.0999999999999999E-2</v>
      </c>
    </row>
    <row r="21" spans="1:15" ht="15.75" thickBot="1" x14ac:dyDescent="0.3">
      <c r="A21" s="232"/>
      <c r="B21" s="173"/>
      <c r="C21" s="173"/>
      <c r="D21" s="177"/>
      <c r="E21" s="346" t="str">
        <f>IF(D21&gt;0,(VLOOKUP(D21,M20:O29,3,FALSE)),"-----------")</f>
        <v>-----------</v>
      </c>
      <c r="F21" s="234" t="s">
        <v>189</v>
      </c>
      <c r="G21" s="235">
        <f>IF(B21&gt;0,(0.007*(E21*B21)^0.8)/((O31)^0.5*(C21)^0.4),0)</f>
        <v>0</v>
      </c>
      <c r="H21" s="14"/>
      <c r="I21" s="4"/>
      <c r="M21" s="348" t="s">
        <v>520</v>
      </c>
      <c r="N21" s="348" t="s">
        <v>521</v>
      </c>
      <c r="O21" s="32">
        <v>0.05</v>
      </c>
    </row>
    <row r="22" spans="1:15" ht="15.75" thickTop="1" x14ac:dyDescent="0.25">
      <c r="A22" s="232" t="s">
        <v>200</v>
      </c>
      <c r="B22" s="174"/>
      <c r="C22" s="174"/>
      <c r="D22" s="178"/>
      <c r="E22" s="343" t="s">
        <v>189</v>
      </c>
      <c r="F22" s="237" t="str">
        <f>IF(D22="u",16.1345*C22^0.5,IF(D22="p",20.3282*C22^0.5,"-----------"))</f>
        <v>-----------</v>
      </c>
      <c r="G22" s="238">
        <f t="shared" ref="G22:G29" si="0">IF(B22&gt;0,((B22)/(3600*F22)),0)</f>
        <v>0</v>
      </c>
      <c r="H22" s="14"/>
      <c r="I22" s="4"/>
      <c r="M22" s="348" t="s">
        <v>522</v>
      </c>
      <c r="N22" s="348" t="s">
        <v>523</v>
      </c>
      <c r="O22" s="32">
        <v>0.06</v>
      </c>
    </row>
    <row r="23" spans="1:15" x14ac:dyDescent="0.25">
      <c r="A23" s="232"/>
      <c r="B23" s="81"/>
      <c r="C23" s="81"/>
      <c r="D23" s="179"/>
      <c r="E23" s="343" t="s">
        <v>189</v>
      </c>
      <c r="F23" s="237" t="str">
        <f>IF(D23="u",16.1345*C23^0.5,IF(D23="p",20.3282*C23^0.5,"-----------"))</f>
        <v>-----------</v>
      </c>
      <c r="G23" s="238">
        <f t="shared" si="0"/>
        <v>0</v>
      </c>
      <c r="H23" s="14"/>
      <c r="I23" s="4"/>
      <c r="M23" s="348" t="s">
        <v>524</v>
      </c>
      <c r="N23" s="348" t="s">
        <v>525</v>
      </c>
      <c r="O23" s="32">
        <v>0.17</v>
      </c>
    </row>
    <row r="24" spans="1:15" ht="15.75" thickBot="1" x14ac:dyDescent="0.3">
      <c r="A24" s="232"/>
      <c r="B24" s="175"/>
      <c r="C24" s="175"/>
      <c r="D24" s="180"/>
      <c r="E24" s="342" t="s">
        <v>189</v>
      </c>
      <c r="F24" s="239" t="str">
        <f>IF(D24="u",16.1345*C24^0.5,IF(D24="p",20.3282*C24^0.5,"-----------"))</f>
        <v>-----------</v>
      </c>
      <c r="G24" s="235">
        <f t="shared" si="0"/>
        <v>0</v>
      </c>
      <c r="H24" s="14"/>
      <c r="I24" s="4"/>
      <c r="M24" s="348" t="s">
        <v>526</v>
      </c>
      <c r="N24" s="348" t="s">
        <v>527</v>
      </c>
      <c r="O24" s="32">
        <v>0.15</v>
      </c>
    </row>
    <row r="25" spans="1:15" ht="15.75" thickTop="1" x14ac:dyDescent="0.25">
      <c r="A25" s="232" t="s">
        <v>201</v>
      </c>
      <c r="B25" s="174"/>
      <c r="C25" s="174"/>
      <c r="D25" s="236" t="s">
        <v>189</v>
      </c>
      <c r="E25" s="178"/>
      <c r="F25" s="181"/>
      <c r="G25" s="238">
        <f t="shared" si="0"/>
        <v>0</v>
      </c>
      <c r="H25" s="14"/>
      <c r="I25" s="4"/>
      <c r="M25" s="348" t="s">
        <v>528</v>
      </c>
      <c r="N25" s="348" t="s">
        <v>529</v>
      </c>
      <c r="O25" s="32">
        <v>0.24</v>
      </c>
    </row>
    <row r="26" spans="1:15" x14ac:dyDescent="0.25">
      <c r="A26" s="232"/>
      <c r="B26" s="81"/>
      <c r="C26" s="81"/>
      <c r="D26" s="236" t="s">
        <v>189</v>
      </c>
      <c r="E26" s="179"/>
      <c r="F26" s="182"/>
      <c r="G26" s="238">
        <f t="shared" si="0"/>
        <v>0</v>
      </c>
      <c r="H26" s="14"/>
      <c r="I26" s="4"/>
      <c r="M26" s="348" t="s">
        <v>530</v>
      </c>
      <c r="N26" s="348" t="s">
        <v>531</v>
      </c>
      <c r="O26" s="32">
        <v>0.41</v>
      </c>
    </row>
    <row r="27" spans="1:15" x14ac:dyDescent="0.25">
      <c r="A27" s="232"/>
      <c r="B27" s="81"/>
      <c r="C27" s="81"/>
      <c r="D27" s="236" t="s">
        <v>189</v>
      </c>
      <c r="E27" s="179"/>
      <c r="F27" s="182"/>
      <c r="G27" s="238">
        <f t="shared" si="0"/>
        <v>0</v>
      </c>
      <c r="H27" s="14"/>
      <c r="I27" s="4"/>
      <c r="M27" s="348" t="s">
        <v>532</v>
      </c>
      <c r="N27" s="348" t="s">
        <v>533</v>
      </c>
      <c r="O27" s="32">
        <v>0.4</v>
      </c>
    </row>
    <row r="28" spans="1:15" x14ac:dyDescent="0.25">
      <c r="A28" s="232"/>
      <c r="B28" s="81"/>
      <c r="C28" s="81"/>
      <c r="D28" s="236" t="s">
        <v>189</v>
      </c>
      <c r="E28" s="179"/>
      <c r="F28" s="182"/>
      <c r="G28" s="238">
        <f t="shared" si="0"/>
        <v>0</v>
      </c>
      <c r="H28" s="14"/>
      <c r="I28" s="4"/>
      <c r="M28" s="348" t="s">
        <v>534</v>
      </c>
      <c r="N28" s="348" t="s">
        <v>535</v>
      </c>
      <c r="O28" s="32">
        <v>0.8</v>
      </c>
    </row>
    <row r="29" spans="1:15" x14ac:dyDescent="0.25">
      <c r="A29" s="232"/>
      <c r="B29" s="81"/>
      <c r="C29" s="81"/>
      <c r="D29" s="236" t="s">
        <v>189</v>
      </c>
      <c r="E29" s="179"/>
      <c r="F29" s="182"/>
      <c r="G29" s="238">
        <f t="shared" si="0"/>
        <v>0</v>
      </c>
      <c r="H29" s="14"/>
      <c r="I29" s="4"/>
      <c r="M29" s="348" t="s">
        <v>536</v>
      </c>
      <c r="N29" s="348" t="s">
        <v>537</v>
      </c>
      <c r="O29" s="32">
        <v>0.13</v>
      </c>
    </row>
    <row r="30" spans="1:15" x14ac:dyDescent="0.25">
      <c r="A30" s="240"/>
      <c r="B30" s="14"/>
      <c r="C30" s="14"/>
      <c r="D30" s="14"/>
      <c r="E30" s="14"/>
      <c r="F30" s="14"/>
      <c r="G30" s="14"/>
      <c r="H30" s="14"/>
      <c r="I30" s="4"/>
      <c r="M30" s="348"/>
      <c r="N30" s="348"/>
    </row>
    <row r="31" spans="1:15" x14ac:dyDescent="0.25">
      <c r="A31" s="14"/>
      <c r="B31" s="14"/>
      <c r="C31" s="14"/>
      <c r="D31" s="14"/>
      <c r="E31" s="168"/>
      <c r="F31" s="241" t="s">
        <v>350</v>
      </c>
      <c r="G31" s="242">
        <f>IF(SUM(G19:G29)=0,0.1,IF(SUM(G19:G29)&lt;=0.1,0.1,SUM(G19:G29)))</f>
        <v>0.1</v>
      </c>
      <c r="H31" s="14"/>
      <c r="I31" s="37"/>
      <c r="M31" s="348"/>
      <c r="N31" s="348" t="s">
        <v>538</v>
      </c>
      <c r="O31" s="31">
        <v>3.3</v>
      </c>
    </row>
    <row r="32" spans="1:15" x14ac:dyDescent="0.25">
      <c r="A32" s="14"/>
      <c r="B32" s="14"/>
      <c r="C32" s="14"/>
      <c r="D32" s="14"/>
      <c r="E32" s="14"/>
      <c r="F32" s="14"/>
      <c r="G32" s="14"/>
      <c r="H32" s="137"/>
      <c r="I32" s="4"/>
    </row>
    <row r="33" spans="1:2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22" x14ac:dyDescent="0.25">
      <c r="A34" s="14"/>
      <c r="B34" s="243" t="s">
        <v>172</v>
      </c>
      <c r="C34" s="14"/>
      <c r="D34" s="14"/>
      <c r="E34" s="14"/>
      <c r="F34" s="14"/>
      <c r="G34" s="243" t="s">
        <v>171</v>
      </c>
      <c r="H34" s="14"/>
      <c r="I34" s="14"/>
      <c r="J34" s="14"/>
      <c r="K34" s="14"/>
    </row>
    <row r="35" spans="1:22" x14ac:dyDescent="0.25">
      <c r="A35" s="14"/>
      <c r="B35" s="14" t="s">
        <v>489</v>
      </c>
      <c r="C35" s="14"/>
      <c r="D35" s="14"/>
      <c r="E35" s="344" t="s">
        <v>512</v>
      </c>
      <c r="F35" s="14"/>
      <c r="G35" s="14" t="s">
        <v>194</v>
      </c>
      <c r="H35" s="14"/>
      <c r="I35" s="14"/>
      <c r="J35" s="14"/>
      <c r="K35" s="14"/>
    </row>
    <row r="36" spans="1:22" x14ac:dyDescent="0.25">
      <c r="A36" s="14"/>
      <c r="B36" s="14" t="s">
        <v>190</v>
      </c>
      <c r="C36" s="14"/>
      <c r="D36" s="14"/>
      <c r="E36" s="344" t="s">
        <v>513</v>
      </c>
      <c r="F36" s="14"/>
      <c r="G36" s="14" t="s">
        <v>195</v>
      </c>
      <c r="H36" s="14"/>
      <c r="I36" s="14"/>
      <c r="J36" s="14"/>
      <c r="K36" s="14"/>
    </row>
    <row r="37" spans="1:22" x14ac:dyDescent="0.25">
      <c r="A37" s="14"/>
      <c r="B37" s="14" t="s">
        <v>191</v>
      </c>
      <c r="C37" s="14"/>
      <c r="D37" s="14"/>
      <c r="E37" s="344" t="s">
        <v>514</v>
      </c>
      <c r="F37" s="14"/>
      <c r="G37" s="14"/>
      <c r="H37" s="14"/>
      <c r="I37" s="14"/>
      <c r="J37" s="14"/>
      <c r="K37" s="14"/>
    </row>
    <row r="38" spans="1:22" x14ac:dyDescent="0.25">
      <c r="A38" s="14"/>
      <c r="B38" s="14" t="s">
        <v>192</v>
      </c>
      <c r="C38" s="14"/>
      <c r="D38" s="14"/>
      <c r="E38" s="344" t="s">
        <v>515</v>
      </c>
      <c r="F38" s="14"/>
      <c r="G38" s="14"/>
      <c r="H38" s="14"/>
      <c r="I38" s="14"/>
      <c r="J38" s="14"/>
      <c r="K38" s="14"/>
    </row>
    <row r="39" spans="1:22" x14ac:dyDescent="0.25">
      <c r="A39" s="14"/>
      <c r="B39" s="14" t="s">
        <v>193</v>
      </c>
      <c r="C39" s="14"/>
      <c r="D39" s="14"/>
      <c r="E39" s="344" t="s">
        <v>516</v>
      </c>
      <c r="F39" s="14"/>
      <c r="G39" s="14"/>
      <c r="H39" s="14"/>
      <c r="I39" s="14"/>
      <c r="J39" s="14"/>
      <c r="K39" s="14"/>
    </row>
    <row r="40" spans="1:2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22" s="50" customFormat="1" ht="15.75" thickBot="1" x14ac:dyDescent="0.3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</row>
    <row r="42" spans="1:22" ht="15.75" x14ac:dyDescent="0.25">
      <c r="A42" s="125" t="s">
        <v>351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2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M43" s="51" t="s">
        <v>187</v>
      </c>
      <c r="S43" s="34" t="s">
        <v>202</v>
      </c>
      <c r="U43" s="327" t="s">
        <v>491</v>
      </c>
      <c r="V43" s="77" t="s">
        <v>183</v>
      </c>
    </row>
    <row r="44" spans="1:22" x14ac:dyDescent="0.25">
      <c r="A44" s="127" t="s">
        <v>352</v>
      </c>
      <c r="B44" s="483">
        <f>B4</f>
        <v>0</v>
      </c>
      <c r="C44" s="484"/>
      <c r="D44" s="14"/>
      <c r="E44" s="14"/>
      <c r="F44" s="14"/>
      <c r="G44" s="14"/>
      <c r="H44" s="14"/>
      <c r="I44" s="14"/>
      <c r="J44" s="14"/>
      <c r="K44" s="14"/>
      <c r="S44" s="51" t="s">
        <v>203</v>
      </c>
      <c r="U44" s="328" t="s">
        <v>492</v>
      </c>
      <c r="V44" s="78" t="s">
        <v>186</v>
      </c>
    </row>
    <row r="45" spans="1:22" x14ac:dyDescent="0.25">
      <c r="A45" s="127" t="s">
        <v>353</v>
      </c>
      <c r="B45" s="225">
        <v>10</v>
      </c>
      <c r="C45" s="225">
        <v>100</v>
      </c>
      <c r="D45" s="14"/>
      <c r="E45" s="14"/>
      <c r="F45" s="14"/>
      <c r="G45" s="14"/>
      <c r="H45" s="14"/>
      <c r="I45" s="14"/>
      <c r="J45" s="14"/>
      <c r="K45" s="14"/>
      <c r="N45" s="349" t="s">
        <v>539</v>
      </c>
      <c r="O45" s="51" t="s">
        <v>197</v>
      </c>
      <c r="P45" s="51" t="s">
        <v>184</v>
      </c>
      <c r="Q45" s="51" t="s">
        <v>185</v>
      </c>
      <c r="S45" s="51" t="s">
        <v>204</v>
      </c>
      <c r="U45" s="329">
        <v>30</v>
      </c>
      <c r="V45" s="330">
        <v>4.6669999999999998</v>
      </c>
    </row>
    <row r="46" spans="1:22" x14ac:dyDescent="0.25">
      <c r="A46" s="127" t="s">
        <v>354</v>
      </c>
      <c r="B46" s="225" t="e">
        <f>VLOOKUP(B3,N7:O9,2)</f>
        <v>#N/A</v>
      </c>
      <c r="C46" s="225" t="e">
        <f>VLOOKUP(B3,N7:P9,3)</f>
        <v>#N/A</v>
      </c>
      <c r="D46" s="14"/>
      <c r="E46" s="14"/>
      <c r="F46" s="14"/>
      <c r="G46" s="14"/>
      <c r="H46" s="14"/>
      <c r="I46" s="14"/>
      <c r="J46" s="14"/>
      <c r="K46" s="14"/>
      <c r="M46" s="51">
        <v>1</v>
      </c>
      <c r="N46" s="350">
        <v>0.1</v>
      </c>
      <c r="O46" s="33">
        <v>2.5532300000000001</v>
      </c>
      <c r="P46" s="33">
        <v>-0.61512</v>
      </c>
      <c r="Q46" s="33">
        <v>-0.16403000000000001</v>
      </c>
      <c r="U46" s="329">
        <v>31</v>
      </c>
      <c r="V46" s="330">
        <v>4.452</v>
      </c>
    </row>
    <row r="47" spans="1:22" x14ac:dyDescent="0.25">
      <c r="A47" s="127" t="s">
        <v>355</v>
      </c>
      <c r="B47" s="225" t="e">
        <f>LOOKUP(B13,U45:U113,V45:V113)</f>
        <v>#N/A</v>
      </c>
      <c r="C47" s="225" t="e">
        <f>B47</f>
        <v>#N/A</v>
      </c>
      <c r="D47" s="14"/>
      <c r="E47" s="14"/>
      <c r="F47" s="14"/>
      <c r="G47" s="14"/>
      <c r="H47" s="14"/>
      <c r="I47" s="14"/>
      <c r="J47" s="14"/>
      <c r="K47" s="14"/>
      <c r="M47" s="51">
        <v>2</v>
      </c>
      <c r="N47" s="350">
        <v>0.3</v>
      </c>
      <c r="O47" s="33">
        <v>2.4653200000000002</v>
      </c>
      <c r="P47" s="33">
        <v>-0.62256999999999996</v>
      </c>
      <c r="Q47" s="33">
        <v>-0.11656999999999999</v>
      </c>
      <c r="U47" s="329">
        <v>32</v>
      </c>
      <c r="V47" s="330">
        <v>4.25</v>
      </c>
    </row>
    <row r="48" spans="1:22" x14ac:dyDescent="0.25">
      <c r="A48" s="127" t="s">
        <v>356</v>
      </c>
      <c r="B48" s="135" t="e">
        <f>B47/B46</f>
        <v>#N/A</v>
      </c>
      <c r="C48" s="135" t="e">
        <f>C47/C46</f>
        <v>#N/A</v>
      </c>
      <c r="D48" s="14"/>
      <c r="E48" s="14"/>
      <c r="F48" s="14"/>
      <c r="G48" s="14"/>
      <c r="H48" s="14"/>
      <c r="I48" s="14"/>
      <c r="J48" s="14"/>
      <c r="K48" s="14"/>
      <c r="M48" s="51">
        <v>3</v>
      </c>
      <c r="N48" s="350">
        <v>0.35</v>
      </c>
      <c r="O48" s="33">
        <v>2.4189600000000002</v>
      </c>
      <c r="P48" s="33">
        <v>-0.61594000000000004</v>
      </c>
      <c r="Q48" s="33">
        <v>-8.8200000000000001E-2</v>
      </c>
      <c r="U48" s="329">
        <v>33</v>
      </c>
      <c r="V48" s="330">
        <v>4.0609999999999999</v>
      </c>
    </row>
    <row r="49" spans="1:22" x14ac:dyDescent="0.25">
      <c r="A49" s="168" t="s">
        <v>357</v>
      </c>
      <c r="B49" s="226" t="e">
        <f>IF(B4="STD",10^R52,10^R64)</f>
        <v>#N/A</v>
      </c>
      <c r="C49" s="226" t="e">
        <f>IF(B4="STD",10^R53,10^R65)</f>
        <v>#N/A</v>
      </c>
      <c r="D49" s="14"/>
      <c r="E49" s="14"/>
      <c r="F49" s="14"/>
      <c r="G49" s="14"/>
      <c r="H49" s="14"/>
      <c r="I49" s="14"/>
      <c r="J49" s="14"/>
      <c r="K49" s="14"/>
      <c r="M49" s="51">
        <v>4</v>
      </c>
      <c r="N49" s="350">
        <v>0.4</v>
      </c>
      <c r="O49" s="33">
        <v>2.36409</v>
      </c>
      <c r="P49" s="33">
        <v>-0.59857000000000005</v>
      </c>
      <c r="Q49" s="33">
        <v>-5.6210000000000003E-2</v>
      </c>
      <c r="U49" s="329">
        <v>34</v>
      </c>
      <c r="V49" s="330">
        <v>3.8820000000000001</v>
      </c>
    </row>
    <row r="50" spans="1:22" x14ac:dyDescent="0.25">
      <c r="A50" s="127" t="s">
        <v>358</v>
      </c>
      <c r="B50" s="135" t="e">
        <f>(B46-0.2*((1000/B13)-10))^2/(B46+0.8*((1000/B13)-10))</f>
        <v>#N/A</v>
      </c>
      <c r="C50" s="135" t="e">
        <f>(C46-0.2*((1000/B13)-10))^2/(C46+0.8*((1000/B13)-10))</f>
        <v>#N/A</v>
      </c>
      <c r="D50" s="14"/>
      <c r="E50" s="14"/>
      <c r="F50" s="14"/>
      <c r="G50" s="14"/>
      <c r="H50" s="14"/>
      <c r="I50" s="14"/>
      <c r="J50" s="14"/>
      <c r="K50" s="14"/>
      <c r="M50" s="51">
        <v>5</v>
      </c>
      <c r="N50" s="350">
        <v>0.45</v>
      </c>
      <c r="O50" s="33">
        <v>2.2923800000000001</v>
      </c>
      <c r="P50" s="33">
        <v>-0.57004999999999995</v>
      </c>
      <c r="Q50" s="33">
        <v>-2.281E-2</v>
      </c>
      <c r="U50" s="329">
        <v>35</v>
      </c>
      <c r="V50" s="330">
        <v>3.714</v>
      </c>
    </row>
    <row r="51" spans="1:22" ht="15.75" thickBot="1" x14ac:dyDescent="0.3">
      <c r="A51" s="168" t="s">
        <v>359</v>
      </c>
      <c r="B51" s="244" t="e">
        <f>(B12/640)*B49*B50</f>
        <v>#VALUE!</v>
      </c>
      <c r="C51" s="244" t="e">
        <f>(B12/640)*C49*C50</f>
        <v>#VALUE!</v>
      </c>
      <c r="D51" s="14"/>
      <c r="E51" s="14"/>
      <c r="F51" s="14"/>
      <c r="G51" s="14"/>
      <c r="H51" s="14"/>
      <c r="I51" s="14"/>
      <c r="J51" s="14"/>
      <c r="K51" s="14"/>
      <c r="M51" s="35">
        <v>6</v>
      </c>
      <c r="N51" s="351">
        <v>0.5</v>
      </c>
      <c r="O51" s="36">
        <v>2.20282</v>
      </c>
      <c r="P51" s="36">
        <v>-0.51598999999999995</v>
      </c>
      <c r="Q51" s="36">
        <v>-1.259E-2</v>
      </c>
      <c r="R51" s="62" t="s">
        <v>196</v>
      </c>
      <c r="U51" s="329">
        <v>36</v>
      </c>
      <c r="V51" s="330">
        <v>3.556</v>
      </c>
    </row>
    <row r="52" spans="1:22" ht="15.75" thickTop="1" x14ac:dyDescent="0.25">
      <c r="A52" s="127" t="s">
        <v>360</v>
      </c>
      <c r="B52" s="244">
        <f>IF(B12="N/A",0,B51/B12)</f>
        <v>0</v>
      </c>
      <c r="C52" s="244">
        <f>IF(B12="N/A",0,C51/B12)</f>
        <v>0</v>
      </c>
      <c r="D52" s="14"/>
      <c r="E52" s="14"/>
      <c r="F52" s="14"/>
      <c r="G52" s="14"/>
      <c r="H52" s="14"/>
      <c r="I52" s="14"/>
      <c r="J52" s="14"/>
      <c r="K52" s="14"/>
      <c r="M52" s="51" t="s">
        <v>169</v>
      </c>
      <c r="N52" s="350" t="e">
        <f>B48</f>
        <v>#N/A</v>
      </c>
      <c r="O52" s="33" t="e">
        <f>(-2.2349*N52^2)+(0.4759*N52)+2.5273</f>
        <v>#N/A</v>
      </c>
      <c r="P52" s="33" t="e">
        <f>(16.611*N52^4)-(16.336*N52^3)+(6.4975*N52^2)-(1.1783*N52)-0.5476</f>
        <v>#N/A</v>
      </c>
      <c r="Q52" s="33" t="e">
        <f>(0.6041*N52^2)+(0.0437*N52)-0.1761</f>
        <v>#N/A</v>
      </c>
      <c r="R52" s="51" t="e">
        <f>O52+P52*LOG10(G31)+Q52*LOG10(G31)^2</f>
        <v>#N/A</v>
      </c>
      <c r="U52" s="329">
        <v>37</v>
      </c>
      <c r="V52" s="330">
        <v>3.4049999999999998</v>
      </c>
    </row>
    <row r="53" spans="1:2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51" t="s">
        <v>170</v>
      </c>
      <c r="N53" s="350" t="e">
        <f>C48</f>
        <v>#N/A</v>
      </c>
      <c r="O53" s="33" t="e">
        <f>(-2.2349*N53^2)+(0.4759*N53)+2.5273</f>
        <v>#N/A</v>
      </c>
      <c r="P53" s="33" t="e">
        <f>(16.611*N53^4)-(16.336*N53^3)+(6.4975*N53^2)-(1.1783*N53)-0.5476</f>
        <v>#N/A</v>
      </c>
      <c r="Q53" s="33" t="e">
        <f>(0.6041*N53^2)+(0.0437*N53)-0.1761</f>
        <v>#N/A</v>
      </c>
      <c r="R53" s="51" t="e">
        <f>O53+P53*LOG10(G31)+Q53*LOG10(G31)^2</f>
        <v>#N/A</v>
      </c>
      <c r="U53" s="329">
        <v>38</v>
      </c>
      <c r="V53" s="330">
        <v>3.2629999999999999</v>
      </c>
    </row>
    <row r="54" spans="1:22" x14ac:dyDescent="0.25">
      <c r="N54" s="349"/>
      <c r="U54" s="329">
        <v>39</v>
      </c>
      <c r="V54" s="330">
        <v>3.1280000000000001</v>
      </c>
    </row>
    <row r="55" spans="1:22" x14ac:dyDescent="0.25">
      <c r="N55" s="349"/>
      <c r="U55" s="77">
        <v>40</v>
      </c>
      <c r="V55" s="331">
        <v>3</v>
      </c>
    </row>
    <row r="56" spans="1:22" x14ac:dyDescent="0.25">
      <c r="M56" s="51" t="s">
        <v>188</v>
      </c>
      <c r="N56" s="349"/>
      <c r="U56" s="77">
        <f t="shared" ref="U56:U110" si="1">U55+1</f>
        <v>41</v>
      </c>
      <c r="V56" s="331">
        <v>2.8780000000000001</v>
      </c>
    </row>
    <row r="57" spans="1:22" x14ac:dyDescent="0.25">
      <c r="N57" s="349" t="s">
        <v>539</v>
      </c>
      <c r="O57" s="51" t="s">
        <v>197</v>
      </c>
      <c r="P57" s="51" t="s">
        <v>184</v>
      </c>
      <c r="Q57" s="51" t="s">
        <v>185</v>
      </c>
      <c r="U57" s="77">
        <f t="shared" si="1"/>
        <v>42</v>
      </c>
      <c r="V57" s="331">
        <v>2.762</v>
      </c>
    </row>
    <row r="58" spans="1:22" x14ac:dyDescent="0.25">
      <c r="M58" s="51">
        <v>1</v>
      </c>
      <c r="N58" s="350">
        <v>0.1</v>
      </c>
      <c r="O58" s="33">
        <v>2.3373300000000001</v>
      </c>
      <c r="P58" s="33">
        <v>-0.68708999999999998</v>
      </c>
      <c r="Q58" s="33">
        <v>-0.10847</v>
      </c>
      <c r="U58" s="77">
        <f t="shared" si="1"/>
        <v>43</v>
      </c>
      <c r="V58" s="331">
        <v>2.6509999999999998</v>
      </c>
    </row>
    <row r="59" spans="1:22" x14ac:dyDescent="0.25">
      <c r="M59" s="51">
        <v>2</v>
      </c>
      <c r="N59" s="350">
        <v>0.3</v>
      </c>
      <c r="O59" s="33">
        <v>2.2259899999999999</v>
      </c>
      <c r="P59" s="33">
        <v>-0.68545</v>
      </c>
      <c r="Q59" s="33">
        <v>-3.2199999999999999E-2</v>
      </c>
      <c r="U59" s="77">
        <f t="shared" si="1"/>
        <v>44</v>
      </c>
      <c r="V59" s="331">
        <v>2.5449999999999999</v>
      </c>
    </row>
    <row r="60" spans="1:22" x14ac:dyDescent="0.25">
      <c r="M60" s="51">
        <v>3</v>
      </c>
      <c r="N60" s="350">
        <v>0.35</v>
      </c>
      <c r="O60" s="33">
        <v>2.1770700000000001</v>
      </c>
      <c r="P60" s="33">
        <v>-0.66476000000000002</v>
      </c>
      <c r="Q60" s="33">
        <v>-8.3000000000000001E-3</v>
      </c>
      <c r="U60" s="77">
        <f t="shared" si="1"/>
        <v>45</v>
      </c>
      <c r="V60" s="331">
        <v>2.444</v>
      </c>
    </row>
    <row r="61" spans="1:22" x14ac:dyDescent="0.25">
      <c r="M61" s="51">
        <v>4</v>
      </c>
      <c r="N61" s="350">
        <v>0.4</v>
      </c>
      <c r="O61" s="33">
        <v>2.1234099999999998</v>
      </c>
      <c r="P61" s="33">
        <v>-0.63854</v>
      </c>
      <c r="Q61" s="33">
        <v>1.6240000000000001E-2</v>
      </c>
      <c r="U61" s="77">
        <f t="shared" si="1"/>
        <v>46</v>
      </c>
      <c r="V61" s="331">
        <v>2.3479999999999999</v>
      </c>
    </row>
    <row r="62" spans="1:22" x14ac:dyDescent="0.25">
      <c r="M62" s="51">
        <v>5</v>
      </c>
      <c r="N62" s="350">
        <v>0.45</v>
      </c>
      <c r="O62" s="33">
        <v>2.06447</v>
      </c>
      <c r="P62" s="33">
        <v>-0.59719999999999995</v>
      </c>
      <c r="Q62" s="33">
        <v>2.8670000000000001E-2</v>
      </c>
      <c r="U62" s="77">
        <f t="shared" si="1"/>
        <v>47</v>
      </c>
      <c r="V62" s="331">
        <v>2.2549999999999999</v>
      </c>
    </row>
    <row r="63" spans="1:22" ht="15.75" thickBot="1" x14ac:dyDescent="0.3">
      <c r="M63" s="35">
        <v>6</v>
      </c>
      <c r="N63" s="351">
        <v>0.5</v>
      </c>
      <c r="O63" s="36">
        <v>1.9967299999999999</v>
      </c>
      <c r="P63" s="36">
        <v>-0.53417000000000003</v>
      </c>
      <c r="Q63" s="36">
        <v>3.1140000000000001E-2</v>
      </c>
      <c r="R63" s="62" t="s">
        <v>196</v>
      </c>
      <c r="U63" s="77">
        <f t="shared" si="1"/>
        <v>48</v>
      </c>
      <c r="V63" s="331">
        <v>2.1669999999999998</v>
      </c>
    </row>
    <row r="64" spans="1:22" ht="15.75" thickTop="1" x14ac:dyDescent="0.25">
      <c r="M64" s="51" t="s">
        <v>169</v>
      </c>
      <c r="N64" s="350" t="e">
        <f>B48</f>
        <v>#N/A</v>
      </c>
      <c r="O64" s="51" t="e">
        <f>(-1.4336*N64^2)+(0.0072*N64)+2.3512</f>
        <v>#N/A</v>
      </c>
      <c r="P64" s="51" t="e">
        <f>(3.6441*N64^3)-(1.4577*N64^2)+(0.1255*N64)-0.6888</f>
        <v>#N/A</v>
      </c>
      <c r="Q64" s="51" t="e">
        <f>(-6.1266*N64^4)+(3.2535*N64^3)+(0.4699*N64^2)+(0.0138*N64)-0.1172</f>
        <v>#N/A</v>
      </c>
      <c r="R64" s="51" t="e">
        <f>O64+P64*LOG10(G31)+Q64*LOG10(G31)^2</f>
        <v>#N/A</v>
      </c>
      <c r="U64" s="77">
        <f t="shared" si="1"/>
        <v>49</v>
      </c>
      <c r="V64" s="331">
        <v>2.0819999999999999</v>
      </c>
    </row>
    <row r="65" spans="13:22" x14ac:dyDescent="0.25">
      <c r="M65" s="51" t="s">
        <v>170</v>
      </c>
      <c r="N65" s="350" t="e">
        <f>C48</f>
        <v>#N/A</v>
      </c>
      <c r="O65" s="51" t="e">
        <f>(-1.4336*N65^2)+(0.0072*N65)+2.3512</f>
        <v>#N/A</v>
      </c>
      <c r="P65" s="51" t="e">
        <f>(3.6441*N65^3)-(1.4577*N65^2)+(0.1255*N65)-0.6888</f>
        <v>#N/A</v>
      </c>
      <c r="Q65" s="51" t="e">
        <f>(-6.1266*N65^4)+(3.2535*N65^3)+(0.4699*N65^2)+(0.0138*N65)-0.1172</f>
        <v>#N/A</v>
      </c>
      <c r="R65" s="51" t="e">
        <f>O65+P65*LOG10(G31)+Q65*LOG10(G31)^2</f>
        <v>#N/A</v>
      </c>
      <c r="U65" s="77">
        <f t="shared" si="1"/>
        <v>50</v>
      </c>
      <c r="V65" s="331">
        <v>2</v>
      </c>
    </row>
    <row r="66" spans="13:22" x14ac:dyDescent="0.25">
      <c r="U66" s="77">
        <f t="shared" si="1"/>
        <v>51</v>
      </c>
      <c r="V66" s="331">
        <v>1.9219999999999999</v>
      </c>
    </row>
    <row r="67" spans="13:22" x14ac:dyDescent="0.25">
      <c r="U67" s="77">
        <f t="shared" si="1"/>
        <v>52</v>
      </c>
      <c r="V67" s="331">
        <v>1.8460000000000001</v>
      </c>
    </row>
    <row r="68" spans="13:22" x14ac:dyDescent="0.25">
      <c r="U68" s="77">
        <f t="shared" si="1"/>
        <v>53</v>
      </c>
      <c r="V68" s="331">
        <v>1.774</v>
      </c>
    </row>
    <row r="69" spans="13:22" x14ac:dyDescent="0.25">
      <c r="U69" s="77">
        <f t="shared" si="1"/>
        <v>54</v>
      </c>
      <c r="V69" s="331">
        <v>1.704</v>
      </c>
    </row>
    <row r="70" spans="13:22" x14ac:dyDescent="0.25">
      <c r="U70" s="77">
        <f t="shared" si="1"/>
        <v>55</v>
      </c>
      <c r="V70" s="331">
        <v>1.6359999999999999</v>
      </c>
    </row>
    <row r="71" spans="13:22" x14ac:dyDescent="0.25">
      <c r="U71" s="77">
        <f t="shared" si="1"/>
        <v>56</v>
      </c>
      <c r="V71" s="331">
        <v>1.571</v>
      </c>
    </row>
    <row r="72" spans="13:22" x14ac:dyDescent="0.25">
      <c r="U72" s="77">
        <f t="shared" si="1"/>
        <v>57</v>
      </c>
      <c r="V72" s="331">
        <v>1.5089999999999999</v>
      </c>
    </row>
    <row r="73" spans="13:22" x14ac:dyDescent="0.25">
      <c r="U73" s="77">
        <f t="shared" si="1"/>
        <v>58</v>
      </c>
      <c r="V73" s="331">
        <v>1.448</v>
      </c>
    </row>
    <row r="74" spans="13:22" x14ac:dyDescent="0.25">
      <c r="U74" s="77">
        <f t="shared" si="1"/>
        <v>59</v>
      </c>
      <c r="V74" s="331">
        <v>1.39</v>
      </c>
    </row>
    <row r="75" spans="13:22" x14ac:dyDescent="0.25">
      <c r="U75" s="77">
        <f t="shared" si="1"/>
        <v>60</v>
      </c>
      <c r="V75" s="331">
        <v>1.333</v>
      </c>
    </row>
    <row r="76" spans="13:22" x14ac:dyDescent="0.25">
      <c r="U76" s="77">
        <f t="shared" si="1"/>
        <v>61</v>
      </c>
      <c r="V76" s="331">
        <v>1.2789999999999999</v>
      </c>
    </row>
    <row r="77" spans="13:22" x14ac:dyDescent="0.25">
      <c r="U77" s="77">
        <f t="shared" si="1"/>
        <v>62</v>
      </c>
      <c r="V77" s="331">
        <v>1.226</v>
      </c>
    </row>
    <row r="78" spans="13:22" x14ac:dyDescent="0.25">
      <c r="U78" s="77">
        <f t="shared" si="1"/>
        <v>63</v>
      </c>
      <c r="V78" s="331">
        <v>1.175</v>
      </c>
    </row>
    <row r="79" spans="13:22" x14ac:dyDescent="0.25">
      <c r="U79" s="77">
        <f t="shared" si="1"/>
        <v>64</v>
      </c>
      <c r="V79" s="331">
        <v>1.125</v>
      </c>
    </row>
    <row r="80" spans="13:22" x14ac:dyDescent="0.25">
      <c r="U80" s="77">
        <f t="shared" si="1"/>
        <v>65</v>
      </c>
      <c r="V80" s="331">
        <v>1.077</v>
      </c>
    </row>
    <row r="81" spans="3:22" x14ac:dyDescent="0.25">
      <c r="U81" s="77">
        <f t="shared" si="1"/>
        <v>66</v>
      </c>
      <c r="V81" s="331">
        <v>1.03</v>
      </c>
    </row>
    <row r="82" spans="3:22" x14ac:dyDescent="0.25">
      <c r="U82" s="77">
        <f t="shared" si="1"/>
        <v>67</v>
      </c>
      <c r="V82" s="331">
        <v>0.98499999999999999</v>
      </c>
    </row>
    <row r="83" spans="3:22" x14ac:dyDescent="0.25">
      <c r="U83" s="77">
        <f t="shared" si="1"/>
        <v>68</v>
      </c>
      <c r="V83" s="331">
        <v>0.94099999999999995</v>
      </c>
    </row>
    <row r="84" spans="3:22" x14ac:dyDescent="0.25">
      <c r="U84" s="77">
        <f t="shared" si="1"/>
        <v>69</v>
      </c>
      <c r="V84" s="331">
        <v>0.89900000000000002</v>
      </c>
    </row>
    <row r="85" spans="3:22" x14ac:dyDescent="0.25">
      <c r="U85" s="77">
        <f t="shared" si="1"/>
        <v>70</v>
      </c>
      <c r="V85" s="331">
        <v>0.85699999999999998</v>
      </c>
    </row>
    <row r="86" spans="3:22" x14ac:dyDescent="0.25">
      <c r="U86" s="77">
        <f t="shared" si="1"/>
        <v>71</v>
      </c>
      <c r="V86" s="331">
        <v>0.81699999999999995</v>
      </c>
    </row>
    <row r="87" spans="3:22" x14ac:dyDescent="0.25">
      <c r="U87" s="77">
        <f t="shared" si="1"/>
        <v>72</v>
      </c>
      <c r="V87" s="331">
        <v>0.77800000000000002</v>
      </c>
    </row>
    <row r="88" spans="3:22" x14ac:dyDescent="0.25">
      <c r="U88" s="77">
        <f t="shared" si="1"/>
        <v>73</v>
      </c>
      <c r="V88" s="331">
        <v>0.74</v>
      </c>
    </row>
    <row r="89" spans="3:22" x14ac:dyDescent="0.25">
      <c r="U89" s="77">
        <f t="shared" si="1"/>
        <v>74</v>
      </c>
      <c r="V89" s="331">
        <v>0.70299999999999996</v>
      </c>
    </row>
    <row r="90" spans="3:22" x14ac:dyDescent="0.25">
      <c r="U90" s="77">
        <f t="shared" si="1"/>
        <v>75</v>
      </c>
      <c r="V90" s="331">
        <v>0.66700000000000004</v>
      </c>
    </row>
    <row r="91" spans="3:22" x14ac:dyDescent="0.25">
      <c r="U91" s="77">
        <f t="shared" si="1"/>
        <v>76</v>
      </c>
      <c r="V91" s="331">
        <v>0.63200000000000001</v>
      </c>
    </row>
    <row r="92" spans="3:22" x14ac:dyDescent="0.25">
      <c r="U92" s="77">
        <f t="shared" si="1"/>
        <v>77</v>
      </c>
      <c r="V92" s="331">
        <v>0.59699999999999998</v>
      </c>
    </row>
    <row r="93" spans="3:22" x14ac:dyDescent="0.25">
      <c r="U93" s="77">
        <f t="shared" si="1"/>
        <v>78</v>
      </c>
      <c r="V93" s="331">
        <v>0.56399999999999995</v>
      </c>
    </row>
    <row r="94" spans="3:22" x14ac:dyDescent="0.25">
      <c r="C94" s="194"/>
      <c r="D94" s="15"/>
      <c r="E94" s="90"/>
      <c r="F94" s="90"/>
      <c r="U94" s="77">
        <f t="shared" si="1"/>
        <v>79</v>
      </c>
      <c r="V94" s="331">
        <v>0.53200000000000003</v>
      </c>
    </row>
    <row r="95" spans="3:22" x14ac:dyDescent="0.25">
      <c r="U95" s="77">
        <f t="shared" si="1"/>
        <v>80</v>
      </c>
      <c r="V95" s="331">
        <v>0.5</v>
      </c>
    </row>
    <row r="96" spans="3:22" x14ac:dyDescent="0.25">
      <c r="U96" s="77">
        <f t="shared" si="1"/>
        <v>81</v>
      </c>
      <c r="V96" s="331">
        <v>0.46899999999999997</v>
      </c>
    </row>
    <row r="97" spans="21:22" x14ac:dyDescent="0.25">
      <c r="U97" s="77">
        <f t="shared" si="1"/>
        <v>82</v>
      </c>
      <c r="V97" s="331">
        <v>0.439</v>
      </c>
    </row>
    <row r="98" spans="21:22" x14ac:dyDescent="0.25">
      <c r="U98" s="77">
        <f t="shared" si="1"/>
        <v>83</v>
      </c>
      <c r="V98" s="331">
        <v>0.41</v>
      </c>
    </row>
    <row r="99" spans="21:22" x14ac:dyDescent="0.25">
      <c r="U99" s="77">
        <f t="shared" si="1"/>
        <v>84</v>
      </c>
      <c r="V99" s="331">
        <v>0.38100000000000001</v>
      </c>
    </row>
    <row r="100" spans="21:22" x14ac:dyDescent="0.25">
      <c r="U100" s="77">
        <f t="shared" si="1"/>
        <v>85</v>
      </c>
      <c r="V100" s="331">
        <v>0.35299999999999998</v>
      </c>
    </row>
    <row r="101" spans="21:22" x14ac:dyDescent="0.25">
      <c r="U101" s="77">
        <f t="shared" si="1"/>
        <v>86</v>
      </c>
      <c r="V101" s="331">
        <v>0.32600000000000001</v>
      </c>
    </row>
    <row r="102" spans="21:22" x14ac:dyDescent="0.25">
      <c r="U102" s="77">
        <f t="shared" si="1"/>
        <v>87</v>
      </c>
      <c r="V102" s="331">
        <v>0.29899999999999999</v>
      </c>
    </row>
    <row r="103" spans="21:22" x14ac:dyDescent="0.25">
      <c r="U103" s="77">
        <f t="shared" si="1"/>
        <v>88</v>
      </c>
      <c r="V103" s="331">
        <v>0.27300000000000002</v>
      </c>
    </row>
    <row r="104" spans="21:22" x14ac:dyDescent="0.25">
      <c r="U104" s="77">
        <f t="shared" si="1"/>
        <v>89</v>
      </c>
      <c r="V104" s="331">
        <v>0.247</v>
      </c>
    </row>
    <row r="105" spans="21:22" x14ac:dyDescent="0.25">
      <c r="U105" s="77">
        <f t="shared" si="1"/>
        <v>90</v>
      </c>
      <c r="V105" s="331">
        <v>0.222</v>
      </c>
    </row>
    <row r="106" spans="21:22" x14ac:dyDescent="0.25">
      <c r="U106" s="77">
        <f t="shared" si="1"/>
        <v>91</v>
      </c>
      <c r="V106" s="331">
        <v>0.19800000000000001</v>
      </c>
    </row>
    <row r="107" spans="21:22" x14ac:dyDescent="0.25">
      <c r="U107" s="77">
        <f t="shared" si="1"/>
        <v>92</v>
      </c>
      <c r="V107" s="331">
        <v>0.17399999999999999</v>
      </c>
    </row>
    <row r="108" spans="21:22" x14ac:dyDescent="0.25">
      <c r="U108" s="77">
        <f t="shared" si="1"/>
        <v>93</v>
      </c>
      <c r="V108" s="331">
        <v>0.151</v>
      </c>
    </row>
    <row r="109" spans="21:22" x14ac:dyDescent="0.25">
      <c r="U109" s="77">
        <f t="shared" si="1"/>
        <v>94</v>
      </c>
      <c r="V109" s="331">
        <v>0.128</v>
      </c>
    </row>
    <row r="110" spans="21:22" x14ac:dyDescent="0.25">
      <c r="U110" s="77">
        <f t="shared" si="1"/>
        <v>95</v>
      </c>
      <c r="V110" s="331">
        <v>0.105</v>
      </c>
    </row>
    <row r="111" spans="21:22" x14ac:dyDescent="0.25">
      <c r="U111" s="62">
        <v>96</v>
      </c>
      <c r="V111" s="332">
        <v>8.3000000000000004E-2</v>
      </c>
    </row>
    <row r="112" spans="21:22" x14ac:dyDescent="0.25">
      <c r="U112" s="62">
        <v>97</v>
      </c>
      <c r="V112" s="332">
        <v>6.2E-2</v>
      </c>
    </row>
    <row r="113" spans="21:22" x14ac:dyDescent="0.25">
      <c r="U113" s="62">
        <v>98</v>
      </c>
      <c r="V113" s="332">
        <v>4.1000000000000002E-2</v>
      </c>
    </row>
  </sheetData>
  <sheetProtection algorithmName="SHA-512" hashValue="UpFg95+cs8vIDpEkQWLAgsHpascCWKJZ98tnXfpet3B2Iz6M4cNwEn/ZC2v+oiD5CGIOkO+lsKeWWezvtSO4LA==" saltValue="hgjZ6/mfMjkZRAvhpjdwaQ==" spinCount="100000" sheet="1" objects="1" scenarios="1"/>
  <mergeCells count="8">
    <mergeCell ref="B44:C44"/>
    <mergeCell ref="B3:K3"/>
    <mergeCell ref="B4:K4"/>
    <mergeCell ref="A5:A6"/>
    <mergeCell ref="M18:N19"/>
    <mergeCell ref="N5:P5"/>
    <mergeCell ref="B1:K1"/>
    <mergeCell ref="B2:K2"/>
  </mergeCells>
  <pageMargins left="0.7" right="0.7" top="0.75" bottom="0.75" header="0.3" footer="0.3"/>
  <pageSetup paperSize="17" scale="87" orientation="portrait" horizontalDpi="300" verticalDpi="300" r:id="rId1"/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9" r:id="rId4" name="Button 11">
              <controlPr locked="0" defaultSize="0" print="0" autoFill="0" autoPict="0" macro="[0]!clearTC_button">
                <anchor moveWithCells="1" sizeWithCells="1">
                  <from>
                    <xdr:col>8</xdr:col>
                    <xdr:colOff>276225</xdr:colOff>
                    <xdr:row>18</xdr:row>
                    <xdr:rowOff>57150</xdr:rowOff>
                  </from>
                  <to>
                    <xdr:col>9</xdr:col>
                    <xdr:colOff>476250</xdr:colOff>
                    <xdr:row>19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U91"/>
  <sheetViews>
    <sheetView zoomScale="80" zoomScaleNormal="80" workbookViewId="0">
      <selection activeCell="C6" sqref="C6"/>
    </sheetView>
  </sheetViews>
  <sheetFormatPr defaultRowHeight="15" x14ac:dyDescent="0.25"/>
  <cols>
    <col min="1" max="1" width="57" style="140" customWidth="1"/>
    <col min="2" max="2" width="10.7109375" style="140" customWidth="1"/>
    <col min="3" max="3" width="20.7109375" style="140" customWidth="1"/>
    <col min="4" max="4" width="10.7109375" style="140" customWidth="1"/>
    <col min="5" max="5" width="20.7109375" style="140" customWidth="1"/>
    <col min="6" max="6" width="10.7109375" style="140" customWidth="1"/>
    <col min="7" max="7" width="20.7109375" style="140" customWidth="1"/>
    <col min="8" max="8" width="10.7109375" style="140" customWidth="1"/>
    <col min="9" max="9" width="20.7109375" style="140" customWidth="1"/>
    <col min="10" max="10" width="10.7109375" style="140" customWidth="1"/>
    <col min="11" max="11" width="20.7109375" style="140" customWidth="1"/>
    <col min="12" max="13" width="9.140625" style="140"/>
    <col min="14" max="14" width="9.28515625" style="140" customWidth="1"/>
    <col min="15" max="15" width="57.28515625" style="140" hidden="1" customWidth="1"/>
    <col min="16" max="16" width="16" style="140" customWidth="1"/>
    <col min="17" max="17" width="15.28515625" style="140" customWidth="1"/>
    <col min="18" max="18" width="14.85546875" style="140" customWidth="1"/>
    <col min="19" max="21" width="12.7109375" style="140" customWidth="1"/>
    <col min="22" max="16384" width="9.140625" style="140"/>
  </cols>
  <sheetData>
    <row r="1" spans="1:18" ht="15.75" x14ac:dyDescent="0.25">
      <c r="A1" s="82" t="s">
        <v>4</v>
      </c>
      <c r="B1" s="470">
        <f>'C.A. RCN'!C1</f>
        <v>0</v>
      </c>
      <c r="C1" s="470"/>
      <c r="D1" s="470"/>
      <c r="E1" s="470"/>
      <c r="F1" s="470"/>
      <c r="G1" s="470"/>
      <c r="H1" s="470"/>
      <c r="I1" s="470"/>
      <c r="J1" s="470"/>
      <c r="K1" s="470"/>
      <c r="Q1" s="141"/>
      <c r="R1" s="141"/>
    </row>
    <row r="2" spans="1:18" ht="15.75" customHeight="1" x14ac:dyDescent="0.25">
      <c r="A2" s="82" t="s">
        <v>7</v>
      </c>
      <c r="B2" s="470">
        <f>'C.A. RCN'!C2</f>
        <v>0</v>
      </c>
      <c r="C2" s="470"/>
      <c r="D2" s="470"/>
      <c r="E2" s="470"/>
      <c r="F2" s="470"/>
      <c r="G2" s="470"/>
      <c r="H2" s="470"/>
      <c r="I2" s="470"/>
      <c r="J2" s="470"/>
      <c r="K2" s="470"/>
    </row>
    <row r="3" spans="1:18" ht="15.75" customHeight="1" x14ac:dyDescent="0.25">
      <c r="A3" s="82" t="s">
        <v>205</v>
      </c>
      <c r="B3" s="470">
        <f>'C.A. RCN'!C3</f>
        <v>0</v>
      </c>
      <c r="C3" s="470"/>
      <c r="D3" s="470"/>
      <c r="E3" s="470"/>
      <c r="F3" s="470"/>
      <c r="G3" s="470"/>
      <c r="H3" s="470"/>
      <c r="I3" s="470"/>
      <c r="J3" s="470"/>
      <c r="K3" s="470"/>
      <c r="O3" s="186"/>
    </row>
    <row r="4" spans="1:18" ht="16.5" thickBot="1" x14ac:dyDescent="0.3">
      <c r="A4" s="388" t="s">
        <v>294</v>
      </c>
      <c r="O4" s="186"/>
    </row>
    <row r="5" spans="1:18" ht="21" customHeight="1" x14ac:dyDescent="0.25">
      <c r="A5" s="111"/>
      <c r="B5" s="488" t="s">
        <v>1</v>
      </c>
      <c r="C5" s="489"/>
      <c r="D5" s="488" t="s">
        <v>2</v>
      </c>
      <c r="E5" s="489"/>
      <c r="F5" s="488" t="s">
        <v>3</v>
      </c>
      <c r="G5" s="489"/>
      <c r="H5" s="490" t="s">
        <v>9</v>
      </c>
      <c r="I5" s="491"/>
      <c r="J5" s="492" t="s">
        <v>10</v>
      </c>
      <c r="K5" s="489"/>
      <c r="O5" s="186"/>
    </row>
    <row r="6" spans="1:18" ht="48" customHeight="1" x14ac:dyDescent="0.25">
      <c r="A6" s="111"/>
      <c r="B6" s="142" t="s">
        <v>324</v>
      </c>
      <c r="C6" s="195" t="s">
        <v>388</v>
      </c>
      <c r="D6" s="142" t="s">
        <v>324</v>
      </c>
      <c r="E6" s="195" t="s">
        <v>388</v>
      </c>
      <c r="F6" s="142" t="s">
        <v>324</v>
      </c>
      <c r="G6" s="195" t="s">
        <v>388</v>
      </c>
      <c r="H6" s="399" t="s">
        <v>324</v>
      </c>
      <c r="I6" s="195" t="s">
        <v>388</v>
      </c>
      <c r="J6" s="256" t="s">
        <v>324</v>
      </c>
      <c r="K6" s="195" t="s">
        <v>388</v>
      </c>
      <c r="O6" s="187" t="s">
        <v>316</v>
      </c>
    </row>
    <row r="7" spans="1:18" ht="15" customHeight="1" x14ac:dyDescent="0.25">
      <c r="A7" s="143" t="s">
        <v>13</v>
      </c>
      <c r="B7" s="144" t="s">
        <v>0</v>
      </c>
      <c r="C7" s="145"/>
      <c r="D7" s="429"/>
      <c r="E7" s="422"/>
      <c r="F7" s="429"/>
      <c r="G7" s="422"/>
      <c r="H7" s="430"/>
      <c r="I7" s="424"/>
      <c r="J7" s="428"/>
      <c r="K7" s="422"/>
      <c r="O7" s="382" t="s">
        <v>388</v>
      </c>
    </row>
    <row r="8" spans="1:18" ht="15" customHeight="1" x14ac:dyDescent="0.25">
      <c r="A8" s="146" t="s">
        <v>154</v>
      </c>
      <c r="B8" s="147">
        <f>'C.A. RCN'!K100</f>
        <v>0</v>
      </c>
      <c r="C8" s="148"/>
      <c r="D8" s="151"/>
      <c r="E8" s="152"/>
      <c r="F8" s="151"/>
      <c r="G8" s="152"/>
      <c r="H8" s="400"/>
      <c r="I8" s="401"/>
      <c r="J8" s="423"/>
      <c r="K8" s="152"/>
      <c r="O8" s="140" t="s">
        <v>547</v>
      </c>
    </row>
    <row r="9" spans="1:18" ht="15" customHeight="1" x14ac:dyDescent="0.25">
      <c r="A9" s="146" t="s">
        <v>299</v>
      </c>
      <c r="B9" s="147" t="e">
        <f>IF('C.A. RCN'!K100&gt;LOD!B34,'C.A. RCN'!K102,LOD!B35)</f>
        <v>#DIV/0!</v>
      </c>
      <c r="C9" s="148"/>
      <c r="D9" s="275"/>
      <c r="E9" s="152"/>
      <c r="F9" s="275"/>
      <c r="G9" s="152"/>
      <c r="H9" s="425"/>
      <c r="I9" s="401"/>
      <c r="J9" s="426"/>
      <c r="K9" s="152"/>
      <c r="O9" s="382" t="s">
        <v>388</v>
      </c>
    </row>
    <row r="10" spans="1:18" ht="15" customHeight="1" x14ac:dyDescent="0.25">
      <c r="A10" s="159" t="s">
        <v>561</v>
      </c>
      <c r="B10" s="147" t="e">
        <f>ROUND(IF('C.A. RCN'!K100=LOD!B34,LOD!B36,(IF(B8*(2.7-(0.05*(1000/B9-10)))^2/(2.7+(0.95*(1000/B9-10)))&lt;(LOD!B34*LOD!B36),(LOD!B34*LOD!B36/B8),(2.7-(0.05*(1000/B9-10)))^2/(2.7+(0.95*(1000/B9-10)))))),2)</f>
        <v>#DIV/0!</v>
      </c>
      <c r="C10" s="148"/>
      <c r="D10" s="275"/>
      <c r="E10" s="152"/>
      <c r="F10" s="275"/>
      <c r="G10" s="152"/>
      <c r="H10" s="425"/>
      <c r="I10" s="401"/>
      <c r="J10" s="426"/>
      <c r="K10" s="152"/>
      <c r="O10" s="14" t="s">
        <v>419</v>
      </c>
    </row>
    <row r="11" spans="1:18" ht="15" customHeight="1" x14ac:dyDescent="0.25">
      <c r="A11" s="150" t="s">
        <v>564</v>
      </c>
      <c r="B11" s="147" t="e">
        <f>(LOD!B39*LOD!B34)/B8</f>
        <v>#DIV/0!</v>
      </c>
      <c r="C11" s="148"/>
      <c r="D11" s="151"/>
      <c r="E11" s="152"/>
      <c r="F11" s="151"/>
      <c r="G11" s="152"/>
      <c r="H11" s="400"/>
      <c r="I11" s="401"/>
      <c r="J11" s="423"/>
      <c r="K11" s="152"/>
      <c r="O11" s="14" t="s">
        <v>420</v>
      </c>
    </row>
    <row r="12" spans="1:18" ht="15" customHeight="1" thickBot="1" x14ac:dyDescent="0.3">
      <c r="A12" s="150" t="s">
        <v>565</v>
      </c>
      <c r="B12" s="397" t="e">
        <f>B11/B10</f>
        <v>#DIV/0!</v>
      </c>
      <c r="C12" s="154"/>
      <c r="D12" s="398"/>
      <c r="E12" s="162"/>
      <c r="F12" s="398"/>
      <c r="G12" s="162"/>
      <c r="H12" s="402"/>
      <c r="I12" s="403"/>
      <c r="J12" s="427"/>
      <c r="K12" s="162"/>
      <c r="O12" s="14" t="s">
        <v>421</v>
      </c>
    </row>
    <row r="13" spans="1:18" ht="15" customHeight="1" x14ac:dyDescent="0.25">
      <c r="A13" s="146"/>
      <c r="B13" s="155"/>
      <c r="C13" s="138"/>
      <c r="D13" s="155"/>
      <c r="E13" s="138"/>
      <c r="F13" s="155"/>
      <c r="G13" s="138"/>
      <c r="H13" s="155"/>
      <c r="I13" s="138"/>
      <c r="J13" s="155"/>
      <c r="K13" s="138"/>
      <c r="O13" s="188" t="s">
        <v>388</v>
      </c>
    </row>
    <row r="14" spans="1:18" ht="15" customHeight="1" thickBot="1" x14ac:dyDescent="0.3">
      <c r="A14" s="245" t="s">
        <v>15</v>
      </c>
      <c r="B14" s="155"/>
      <c r="C14" s="138"/>
      <c r="D14" s="155"/>
      <c r="E14" s="138"/>
      <c r="F14" s="155"/>
      <c r="G14" s="138"/>
      <c r="H14" s="155"/>
      <c r="I14" s="138"/>
      <c r="J14" s="155"/>
      <c r="K14" s="138"/>
      <c r="O14" s="138" t="s">
        <v>427</v>
      </c>
    </row>
    <row r="15" spans="1:18" ht="15" customHeight="1" x14ac:dyDescent="0.25">
      <c r="A15" s="146" t="s">
        <v>589</v>
      </c>
      <c r="B15" s="79"/>
      <c r="C15" s="156"/>
      <c r="D15" s="79"/>
      <c r="E15" s="156"/>
      <c r="F15" s="79"/>
      <c r="G15" s="156"/>
      <c r="H15" s="79"/>
      <c r="I15" s="156"/>
      <c r="J15" s="79"/>
      <c r="K15" s="156"/>
      <c r="O15" s="138" t="s">
        <v>428</v>
      </c>
    </row>
    <row r="16" spans="1:18" ht="15" customHeight="1" x14ac:dyDescent="0.25">
      <c r="A16" s="146" t="s">
        <v>277</v>
      </c>
      <c r="B16" s="157" t="str">
        <f>IF(C6="--","N/A",VLOOKUP(C6,'Data &amp; Documentation'!$C$1:$Q$83,8,FALSE))</f>
        <v>N/A</v>
      </c>
      <c r="C16" s="152"/>
      <c r="D16" s="157" t="str">
        <f>IF(E6="--","N/A",VLOOKUP(E6,'Data &amp; Documentation'!$C$1:$Q$83,8,FALSE))</f>
        <v>N/A</v>
      </c>
      <c r="E16" s="152"/>
      <c r="F16" s="157" t="str">
        <f>IF(G6="--","N/A",VLOOKUP(G6,'Data &amp; Documentation'!$C$1:$Q$83,8,FALSE))</f>
        <v>N/A</v>
      </c>
      <c r="G16" s="152"/>
      <c r="H16" s="157" t="str">
        <f>IF(I6="--","N/A",VLOOKUP(I6,'Data &amp; Documentation'!$C$1:$Q$83,8,FALSE))</f>
        <v>N/A</v>
      </c>
      <c r="I16" s="152"/>
      <c r="J16" s="157" t="str">
        <f>IF(K6="--","N/A",VLOOKUP(K6,'Data &amp; Documentation'!$C$1:$Q$83,8,FALSE))</f>
        <v>N/A</v>
      </c>
      <c r="K16" s="152"/>
      <c r="O16" s="138" t="s">
        <v>429</v>
      </c>
    </row>
    <row r="17" spans="1:16" ht="15" customHeight="1" x14ac:dyDescent="0.25">
      <c r="A17" s="146" t="s">
        <v>278</v>
      </c>
      <c r="B17" s="158" t="str">
        <f>IF(C6="--","N/A",B15*B16/43560)</f>
        <v>N/A</v>
      </c>
      <c r="C17" s="152"/>
      <c r="D17" s="158" t="str">
        <f>IF(E6="--","N/A",D15*D16/43560)</f>
        <v>N/A</v>
      </c>
      <c r="E17" s="152"/>
      <c r="F17" s="158" t="str">
        <f>IF(G6="--","N/A",F15*F16/43560)</f>
        <v>N/A</v>
      </c>
      <c r="G17" s="152"/>
      <c r="H17" s="158" t="str">
        <f>IF(I6="--","N/A",H15*H16/43560)</f>
        <v>N/A</v>
      </c>
      <c r="I17" s="152"/>
      <c r="J17" s="158" t="str">
        <f>IF(K6="--","N/A",J15*J16/43560)</f>
        <v>N/A</v>
      </c>
      <c r="K17" s="152"/>
      <c r="O17" s="138" t="s">
        <v>430</v>
      </c>
    </row>
    <row r="18" spans="1:16" ht="15" customHeight="1" x14ac:dyDescent="0.25">
      <c r="A18" s="159" t="s">
        <v>304</v>
      </c>
      <c r="B18" s="147" t="str">
        <f>IF(C6="--","N/A",(B17*12)/B8)</f>
        <v>N/A</v>
      </c>
      <c r="C18" s="152"/>
      <c r="D18" s="147" t="str">
        <f>IF(E6="--","N/A",(D17*12)/$B$8)</f>
        <v>N/A</v>
      </c>
      <c r="E18" s="152"/>
      <c r="F18" s="147" t="str">
        <f>IF(G6="--","N/A",(F17*12)/$B$8)</f>
        <v>N/A</v>
      </c>
      <c r="G18" s="152"/>
      <c r="H18" s="147" t="str">
        <f>IF(I6="--","N/A",(H17*12)/$B$8)</f>
        <v>N/A</v>
      </c>
      <c r="I18" s="152"/>
      <c r="J18" s="147" t="str">
        <f>IF(K6="--","N/A",(J17*12)/$B$8)</f>
        <v>N/A</v>
      </c>
      <c r="K18" s="196"/>
      <c r="O18" s="138" t="s">
        <v>431</v>
      </c>
    </row>
    <row r="19" spans="1:16" ht="15" customHeight="1" x14ac:dyDescent="0.25">
      <c r="A19" s="159" t="s">
        <v>305</v>
      </c>
      <c r="B19" s="160" t="str">
        <f>IF(C6="--","N/A",IF(B10-B18&lt;=0,0,B10-B18))</f>
        <v>N/A</v>
      </c>
      <c r="C19" s="152"/>
      <c r="D19" s="160" t="str">
        <f>IF(E6="--","N/A",IF(B33-D18&lt;=0,0,B33-D18))</f>
        <v>N/A</v>
      </c>
      <c r="E19" s="152"/>
      <c r="F19" s="160" t="str">
        <f>IF(G6="--","N/A",IF(D33-F18&lt;=0,0,D33-F18))</f>
        <v>N/A</v>
      </c>
      <c r="G19" s="152"/>
      <c r="H19" s="160" t="str">
        <f>IF(I6="--","N/A",IF(F33-H18&lt;=0,0,F33-H18))</f>
        <v>N/A</v>
      </c>
      <c r="I19" s="152"/>
      <c r="J19" s="160" t="str">
        <f>IF(K6="--","N/A",IF(H33-J18&lt;=0,0,H33-J18))</f>
        <v>N/A</v>
      </c>
      <c r="K19" s="152"/>
      <c r="O19" s="138" t="s">
        <v>432</v>
      </c>
    </row>
    <row r="20" spans="1:16" ht="15" customHeight="1" thickBot="1" x14ac:dyDescent="0.3">
      <c r="A20" s="159" t="s">
        <v>395</v>
      </c>
      <c r="B20" s="161" t="str">
        <f>IF(C6="--","N/A",(625*SQRT(361*B19^2+216*B19)+11875*B19+4000)/(170*B19+256))</f>
        <v>N/A</v>
      </c>
      <c r="C20" s="162"/>
      <c r="D20" s="161" t="str">
        <f>IF(E6="--","N/A",(625*SQRT(361*D19^2+216*D19)+11875*D19+4000)/(170*D19+256))</f>
        <v>N/A</v>
      </c>
      <c r="E20" s="162"/>
      <c r="F20" s="161" t="str">
        <f>IF(G6="--","N/A",(625*SQRT(361*F19^2+216*F19)+11875*F19+4000)/(170*F19+256))</f>
        <v>N/A</v>
      </c>
      <c r="G20" s="162"/>
      <c r="H20" s="161" t="str">
        <f>IF(I6="--","N/A",(625*SQRT(361*H19^2+216*H19)+11875*H19+4000)/(170*H19+256))</f>
        <v>N/A</v>
      </c>
      <c r="I20" s="162"/>
      <c r="J20" s="161" t="str">
        <f>IF(K6="--","N/A",(625*SQRT(361*J19^2+216*J19)+11875*J19+4000)/(170*J19+256))</f>
        <v>N/A</v>
      </c>
      <c r="K20" s="162"/>
      <c r="O20" s="138" t="s">
        <v>433</v>
      </c>
    </row>
    <row r="21" spans="1:16" ht="15" customHeight="1" x14ac:dyDescent="0.25">
      <c r="A21" s="186"/>
      <c r="B21" s="141"/>
      <c r="D21" s="141"/>
      <c r="F21" s="141"/>
      <c r="H21" s="141"/>
      <c r="J21" s="141"/>
      <c r="O21" s="138" t="s">
        <v>434</v>
      </c>
    </row>
    <row r="22" spans="1:16" ht="15" customHeight="1" thickBot="1" x14ac:dyDescent="0.3">
      <c r="A22" s="245" t="s">
        <v>14</v>
      </c>
      <c r="B22" s="141"/>
      <c r="D22" s="141"/>
      <c r="F22" s="141"/>
      <c r="H22" s="141"/>
      <c r="J22" s="141"/>
      <c r="O22" s="138" t="s">
        <v>435</v>
      </c>
    </row>
    <row r="23" spans="1:16" ht="15" customHeight="1" x14ac:dyDescent="0.25">
      <c r="A23" s="159" t="s">
        <v>8</v>
      </c>
      <c r="B23" s="163" t="e">
        <f>B9</f>
        <v>#DIV/0!</v>
      </c>
      <c r="C23" s="156"/>
      <c r="D23" s="163" t="str">
        <f>IF(E6="--","N/A",(625*SQRT(361*B33^2+216*B33)+11875*B33+4000)/(170*B33+256))</f>
        <v>N/A</v>
      </c>
      <c r="E23" s="156"/>
      <c r="F23" s="163" t="str">
        <f>IF(G6="--","N/A",(625*SQRT(361*D33^2+216*D33)+11875*D33+4000)/(170*D33+256))</f>
        <v>N/A</v>
      </c>
      <c r="G23" s="156"/>
      <c r="H23" s="163" t="str">
        <f>IF(I6="--","N/A",(625*SQRT(361*F33^2+216*F33)+11875*F33+4000)/(170*F33+256))</f>
        <v>N/A</v>
      </c>
      <c r="I23" s="156"/>
      <c r="J23" s="163" t="str">
        <f>IF(K6="--","N/A",(625*SQRT(361*H33^2+216*H33)+11875*H33+4000)/(170*H33+256))</f>
        <v>N/A</v>
      </c>
      <c r="K23" s="156"/>
      <c r="O23" s="138" t="s">
        <v>436</v>
      </c>
    </row>
    <row r="24" spans="1:16" ht="15" customHeight="1" x14ac:dyDescent="0.25">
      <c r="A24" s="159" t="s">
        <v>11</v>
      </c>
      <c r="B24" s="158" t="e">
        <f>0.000004*B23^3.5</f>
        <v>#DIV/0!</v>
      </c>
      <c r="C24" s="152"/>
      <c r="D24" s="158" t="str">
        <f>IF(E6="--","N/A",0.000004*D23^3.5)</f>
        <v>N/A</v>
      </c>
      <c r="E24" s="152"/>
      <c r="F24" s="158" t="str">
        <f>IF(G6="--","N/A",0.000004*F23^3.5)</f>
        <v>N/A</v>
      </c>
      <c r="G24" s="152"/>
      <c r="H24" s="158" t="str">
        <f>IF(I6="--","N/A",0.000004*H23^3.5)</f>
        <v>N/A</v>
      </c>
      <c r="I24" s="152"/>
      <c r="J24" s="158" t="str">
        <f>IF(K6="--","N/A",0.000004*J23^3.5)</f>
        <v>N/A</v>
      </c>
      <c r="K24" s="152"/>
      <c r="O24" s="138" t="s">
        <v>437</v>
      </c>
    </row>
    <row r="25" spans="1:16" ht="15" customHeight="1" x14ac:dyDescent="0.25">
      <c r="A25" s="159" t="s">
        <v>300</v>
      </c>
      <c r="B25" s="80">
        <v>0</v>
      </c>
      <c r="C25" s="152"/>
      <c r="D25" s="80">
        <v>0</v>
      </c>
      <c r="E25" s="152"/>
      <c r="F25" s="80">
        <v>0</v>
      </c>
      <c r="G25" s="152"/>
      <c r="H25" s="80">
        <v>0</v>
      </c>
      <c r="I25" s="152"/>
      <c r="J25" s="80">
        <v>0</v>
      </c>
      <c r="K25" s="152"/>
      <c r="O25" s="138" t="s">
        <v>502</v>
      </c>
    </row>
    <row r="26" spans="1:16" ht="15" customHeight="1" x14ac:dyDescent="0.25">
      <c r="A26" s="146" t="s">
        <v>279</v>
      </c>
      <c r="B26" s="153" t="str">
        <f>IF(C6="--","N/A",IF(B25=0,VLOOKUP(C6,'Data &amp; Documentation'!$C$1:$Q$83,11,FALSE),(VLOOKUP(C6,'Data &amp; Documentation'!$C$1:$Q$83,9,FALSE)*B25+VLOOKUP(C6,'Data &amp; Documentation'!$C$1:$Q$83,11,FALSE)*(1-B25))))</f>
        <v>N/A</v>
      </c>
      <c r="C26" s="152"/>
      <c r="D26" s="153" t="str">
        <f>IF(E6="--","N/A",IF(D25=0,VLOOKUP(E6,'Data &amp; Documentation'!$C$1:$Q$83,11,FALSE),(VLOOKUP(E6,'Data &amp; Documentation'!$C$1:$Q$83,9,FALSE)*D25+VLOOKUP(E6,'Data &amp; Documentation'!$C$1:$Q$83,11,FALSE)*(1-D25))))</f>
        <v>N/A</v>
      </c>
      <c r="E26" s="152"/>
      <c r="F26" s="153" t="str">
        <f>IF(G6="--","N/A",IF(F25=0,VLOOKUP(G6,'Data &amp; Documentation'!$C$1:$Q$83,11,FALSE),(VLOOKUP(G6,'Data &amp; Documentation'!$C$1:$Q$83,9,FALSE)*F25+VLOOKUP(G6,'Data &amp; Documentation'!$C$1:$Q$83,11,FALSE)*(1-F25))))</f>
        <v>N/A</v>
      </c>
      <c r="G26" s="152"/>
      <c r="H26" s="153" t="str">
        <f>IF(I6="--","N/A",IF(H25=0,VLOOKUP(I6,'Data &amp; Documentation'!$C$1:$Q$83,11,FALSE),(VLOOKUP(I6,'Data &amp; Documentation'!$C$1:$Q$83,9,FALSE)*H25+VLOOKUP(I6,'Data &amp; Documentation'!$C$1:$Q$83,11,FALSE)*(1-H25))))</f>
        <v>N/A</v>
      </c>
      <c r="I26" s="152"/>
      <c r="J26" s="153" t="str">
        <f>IF(K6="--","N/A",IF(J25=0,VLOOKUP(K6,'Data &amp; Documentation'!$C$1:$Q$83,11,FALSE),(VLOOKUP(K6,'Data &amp; Documentation'!$C$1:$Q$83,9,FALSE)*J25+VLOOKUP(K6,'Data &amp; Documentation'!$C$1:$Q$83,11,FALSE)*(1-J25))))</f>
        <v>N/A</v>
      </c>
      <c r="K26" s="152"/>
      <c r="O26" s="188" t="s">
        <v>388</v>
      </c>
    </row>
    <row r="27" spans="1:16" ht="15" customHeight="1" x14ac:dyDescent="0.25">
      <c r="A27" s="159" t="s">
        <v>290</v>
      </c>
      <c r="B27" s="147" t="str">
        <f>IF(C6="--","N/A",B24*(1-B26))</f>
        <v>N/A</v>
      </c>
      <c r="C27" s="152"/>
      <c r="D27" s="147" t="str">
        <f>IF(E6="--","N/A",D24*(1-D26))</f>
        <v>N/A</v>
      </c>
      <c r="E27" s="152"/>
      <c r="F27" s="147" t="str">
        <f>IF(G6="--","N/A",F24*(1-F26))</f>
        <v>N/A</v>
      </c>
      <c r="G27" s="152"/>
      <c r="H27" s="147" t="str">
        <f>IF(I6="--","N/A",H24*(1-H26))</f>
        <v>N/A</v>
      </c>
      <c r="I27" s="152"/>
      <c r="J27" s="147" t="str">
        <f>IF(K6="--","N/A",J24*(1-J26))</f>
        <v>N/A</v>
      </c>
      <c r="K27" s="152"/>
      <c r="O27" s="138" t="s">
        <v>482</v>
      </c>
    </row>
    <row r="28" spans="1:16" ht="15" customHeight="1" x14ac:dyDescent="0.25">
      <c r="A28" s="159" t="s">
        <v>291</v>
      </c>
      <c r="B28" s="160" t="e">
        <f>ROUND(IF(C6="--","N/A",34.8553*B27^0.285714),2)</f>
        <v>#VALUE!</v>
      </c>
      <c r="C28" s="152"/>
      <c r="D28" s="160" t="str">
        <f>IF(E6="--","N/A",34.8553*D27^0.285714)</f>
        <v>N/A</v>
      </c>
      <c r="E28" s="152"/>
      <c r="F28" s="160" t="str">
        <f>IF(G6="--","N/A",34.8553*F27^0.285714)</f>
        <v>N/A</v>
      </c>
      <c r="G28" s="152"/>
      <c r="H28" s="160" t="str">
        <f>IF(I6="--","N/A",34.8553*H27^0.285714)</f>
        <v>N/A</v>
      </c>
      <c r="I28" s="152"/>
      <c r="J28" s="160" t="str">
        <f>IF(K6="--","N/A",34.8553*J27^0.285714)</f>
        <v>N/A</v>
      </c>
      <c r="K28" s="152"/>
      <c r="O28" s="138" t="s">
        <v>439</v>
      </c>
    </row>
    <row r="29" spans="1:16" ht="15" customHeight="1" thickBot="1" x14ac:dyDescent="0.3">
      <c r="A29" s="159" t="s">
        <v>336</v>
      </c>
      <c r="B29" s="161" t="e">
        <f>ROUND(IF(C6="--","N/A",IF(C6="0-No BMP",0,$B$10-(2.7-(0.05*(1000/B28-10)))^2/(2.7+(0.95*(1000/B28-10))))),2)</f>
        <v>#VALUE!</v>
      </c>
      <c r="C29" s="154"/>
      <c r="D29" s="161" t="str">
        <f>IF(E6="--","N/A",$B$10-(2.7-(0.05*(1000/D28-10)))^2/(2.7+(0.95*(1000/D28-10))))</f>
        <v>N/A</v>
      </c>
      <c r="E29" s="154"/>
      <c r="F29" s="161" t="str">
        <f>IF(G6="--","N/A",$B$10-(2.7-(0.05*(1000/F28-10)))^2/(2.7+(0.95*(1000/F28-10))))</f>
        <v>N/A</v>
      </c>
      <c r="G29" s="154"/>
      <c r="H29" s="161" t="str">
        <f>IF(I6="--","N/A",$B$10-(2.7-(0.05*(1000/H28-10)))^2/(2.7+(0.95*(1000/H28-10))))</f>
        <v>N/A</v>
      </c>
      <c r="I29" s="154"/>
      <c r="J29" s="161" t="str">
        <f>IF(K6="--","N/A",$B$10-(2.7-(0.05*(1000/J28-10)))^2/(2.7+(0.95*(1000/J28-10))))</f>
        <v>N/A</v>
      </c>
      <c r="K29" s="154"/>
      <c r="O29" s="138" t="s">
        <v>440</v>
      </c>
    </row>
    <row r="30" spans="1:16" ht="15" customHeight="1" x14ac:dyDescent="0.25">
      <c r="A30" s="186"/>
      <c r="B30" s="141"/>
      <c r="D30" s="141"/>
      <c r="F30" s="141"/>
      <c r="H30" s="141"/>
      <c r="J30" s="141"/>
      <c r="O30" s="138" t="s">
        <v>441</v>
      </c>
    </row>
    <row r="31" spans="1:16" ht="15" customHeight="1" thickBot="1" x14ac:dyDescent="0.3">
      <c r="A31" s="245" t="s">
        <v>474</v>
      </c>
      <c r="B31" s="141"/>
      <c r="D31" s="141"/>
      <c r="F31" s="141"/>
      <c r="H31" s="141"/>
      <c r="J31" s="141"/>
      <c r="O31" s="188" t="s">
        <v>388</v>
      </c>
      <c r="P31" s="51"/>
    </row>
    <row r="32" spans="1:16" ht="15" customHeight="1" x14ac:dyDescent="0.25">
      <c r="A32" s="146" t="s">
        <v>595</v>
      </c>
      <c r="B32" s="421" t="str">
        <f>IF(C6="--","N/A",($B$10-B33)/12*43560*B8)</f>
        <v>N/A</v>
      </c>
      <c r="C32" s="290"/>
      <c r="D32" s="421" t="str">
        <f>IF(E6="--","N/A",($B$10-D33)/12*43560*$B$8)</f>
        <v>N/A</v>
      </c>
      <c r="E32" s="290"/>
      <c r="F32" s="421" t="str">
        <f>IF(G6="--","N/A",($B$10-F33)/12*43560*$B$8)</f>
        <v>N/A</v>
      </c>
      <c r="G32" s="290"/>
      <c r="H32" s="421" t="str">
        <f>IF(I6="--","N/A",($B$10-H33)/12*43560*$B$8)</f>
        <v>N/A</v>
      </c>
      <c r="I32" s="290"/>
      <c r="J32" s="421" t="str">
        <f>IF(K6="--","N/A",($B$10-J33)/12*43560*$B$8)</f>
        <v>N/A</v>
      </c>
      <c r="K32" s="156"/>
      <c r="O32" s="188"/>
      <c r="P32" s="349"/>
    </row>
    <row r="33" spans="1:21" ht="15" customHeight="1" x14ac:dyDescent="0.25">
      <c r="A33" s="159" t="s">
        <v>596</v>
      </c>
      <c r="B33" s="147" t="str">
        <f>IF(C6="--","N/A",IF($B$10-B18-B29&lt;=0,0,$B$10-B18-B29))</f>
        <v>N/A</v>
      </c>
      <c r="C33" s="152"/>
      <c r="D33" s="147" t="str">
        <f>IF(E6="--","N/A",IF($B$10-D18-D29&lt;=0,0,$B$10-D18-D29))</f>
        <v>N/A</v>
      </c>
      <c r="E33" s="152"/>
      <c r="F33" s="147" t="str">
        <f>IF(G6="--","N/A",IF($B$10-F18-F29&lt;=0,0,$B$10-F18-F29))</f>
        <v>N/A</v>
      </c>
      <c r="G33" s="152"/>
      <c r="H33" s="147" t="str">
        <f>IF(I6="--","N/A",IF($B$10-H18-H29&lt;=0,0,$B$10-H18-H29))</f>
        <v>N/A</v>
      </c>
      <c r="I33" s="152"/>
      <c r="J33" s="147" t="str">
        <f>IF(K6="--","N/A",IF($B$10-J18-J29&lt;=0,0,$B$10-J18-J29))</f>
        <v>N/A</v>
      </c>
      <c r="K33" s="152"/>
      <c r="O33" s="14" t="s">
        <v>425</v>
      </c>
      <c r="P33" s="51"/>
    </row>
    <row r="34" spans="1:21" ht="15" customHeight="1" x14ac:dyDescent="0.25">
      <c r="A34" s="159" t="s">
        <v>597</v>
      </c>
      <c r="B34" s="420" t="str">
        <f>IF(C6="--","N/A",B33/12*B8*43560)</f>
        <v>N/A</v>
      </c>
      <c r="C34" s="152"/>
      <c r="D34" s="420" t="str">
        <f>IF(E6="--","N/A",D33/12*$B$8*43560)</f>
        <v>N/A</v>
      </c>
      <c r="E34" s="152"/>
      <c r="F34" s="420" t="str">
        <f>IF(G6="--","N/A",F33/12*$B$8*43560)</f>
        <v>N/A</v>
      </c>
      <c r="G34" s="152"/>
      <c r="H34" s="420" t="str">
        <f>IF(I6="--","N/A",H33/12*$B$8*43560)</f>
        <v>N/A</v>
      </c>
      <c r="I34" s="152"/>
      <c r="J34" s="420" t="str">
        <f>IF(K6="--","N/A",J33/12*$B$8*43560)</f>
        <v>N/A</v>
      </c>
      <c r="K34" s="152"/>
      <c r="O34" s="14" t="s">
        <v>426</v>
      </c>
      <c r="P34" s="349"/>
    </row>
    <row r="35" spans="1:21" ht="15" customHeight="1" x14ac:dyDescent="0.25">
      <c r="A35" s="159" t="s">
        <v>598</v>
      </c>
      <c r="B35" s="147" t="str">
        <f>IF(C6="--","N/A",$B$10-B33)</f>
        <v>N/A</v>
      </c>
      <c r="C35" s="152"/>
      <c r="D35" s="147" t="str">
        <f>IF(E6="--","N/A",$B$10-D33)</f>
        <v>N/A</v>
      </c>
      <c r="E35" s="152"/>
      <c r="F35" s="147" t="str">
        <f>IF(G6="--","N/A",$B$10-F33)</f>
        <v>N/A</v>
      </c>
      <c r="G35" s="152"/>
      <c r="H35" s="147" t="str">
        <f>IF(I6="--","N/A",$B$10-H33)</f>
        <v>N/A</v>
      </c>
      <c r="I35" s="152"/>
      <c r="J35" s="147" t="str">
        <f>IF(K6="--","N/A",$B$10-J33)</f>
        <v>N/A</v>
      </c>
      <c r="K35" s="152"/>
      <c r="O35" s="188" t="s">
        <v>388</v>
      </c>
      <c r="P35" s="51"/>
    </row>
    <row r="36" spans="1:21" ht="15" customHeight="1" x14ac:dyDescent="0.25">
      <c r="A36" s="159" t="s">
        <v>599</v>
      </c>
      <c r="B36" s="153" t="str">
        <f>IF(C6="--","N/A",IF($B$10=0,0,IF(B35/$B$10&lt;=0,0,B35/$B$10)))</f>
        <v>N/A</v>
      </c>
      <c r="C36" s="152"/>
      <c r="D36" s="153" t="str">
        <f>IF(E6="--","N/A",IF($B$10=0,1,IF(D35/$B$10&lt;=0,1,D35/$B$10)))</f>
        <v>N/A</v>
      </c>
      <c r="E36" s="152"/>
      <c r="F36" s="153" t="str">
        <f>IF(G6="--","N/A",IF($B$10=0,1,IF(F35/$B$10&lt;=0,1,F35/$B$10)))</f>
        <v>N/A</v>
      </c>
      <c r="G36" s="152"/>
      <c r="H36" s="153" t="str">
        <f>IF(I6="--","N/A",IF($B$10=0,1,IF(H35/$B$10&lt;=0,1,H35/$B$10)))</f>
        <v>N/A</v>
      </c>
      <c r="I36" s="152"/>
      <c r="J36" s="153" t="str">
        <f>IF(K6="--","N/A",IF($B$10=0,1,IF(J35/$B$10&lt;=0,1,J35/$B$10)))</f>
        <v>N/A</v>
      </c>
      <c r="K36" s="152"/>
      <c r="O36" s="14" t="s">
        <v>448</v>
      </c>
      <c r="P36" s="207"/>
    </row>
    <row r="37" spans="1:21" ht="15" customHeight="1" x14ac:dyDescent="0.25">
      <c r="A37" s="159" t="s">
        <v>600</v>
      </c>
      <c r="B37" s="407" t="e">
        <f>IF(B20&lt;B28,B20,B28)</f>
        <v>#VALUE!</v>
      </c>
      <c r="C37" s="152"/>
      <c r="D37" s="407" t="str">
        <f>IF(D20&lt;D28,D20,D28)</f>
        <v>N/A</v>
      </c>
      <c r="E37" s="152"/>
      <c r="F37" s="407" t="str">
        <f>IF(F20&lt;F28,F20,F28)</f>
        <v>N/A</v>
      </c>
      <c r="G37" s="152"/>
      <c r="H37" s="407" t="str">
        <f>IF(H20&lt;H28,H20,H28)</f>
        <v>N/A</v>
      </c>
      <c r="I37" s="152"/>
      <c r="J37" s="407" t="str">
        <f>IF(J20&lt;J28,J20,J28)</f>
        <v>N/A</v>
      </c>
      <c r="K37" s="152"/>
      <c r="O37" s="14" t="s">
        <v>447</v>
      </c>
      <c r="P37" s="207"/>
    </row>
    <row r="38" spans="1:21" ht="15" customHeight="1" x14ac:dyDescent="0.25">
      <c r="A38" s="159" t="s">
        <v>601</v>
      </c>
      <c r="B38" s="147" t="str">
        <f>IF(C6="--","N/A",0.000004*B37^3.5)</f>
        <v>N/A</v>
      </c>
      <c r="C38" s="152"/>
      <c r="D38" s="147" t="str">
        <f>IF(E6="--","N/A",0.000004*D37^3.5)</f>
        <v>N/A</v>
      </c>
      <c r="E38" s="152"/>
      <c r="F38" s="147" t="str">
        <f>IF(G6="--","N/A",0.000004*F37^3.5)</f>
        <v>N/A</v>
      </c>
      <c r="G38" s="152"/>
      <c r="H38" s="147" t="str">
        <f>IF(I6="--","N/A",0.000004*H37^3.5)</f>
        <v>N/A</v>
      </c>
      <c r="I38" s="152"/>
      <c r="J38" s="147" t="str">
        <f>IF(K6="--","N/A",0.000004*J37^3.5)</f>
        <v>N/A</v>
      </c>
      <c r="K38" s="152"/>
      <c r="O38" s="188" t="s">
        <v>388</v>
      </c>
      <c r="P38" s="51"/>
    </row>
    <row r="39" spans="1:21" ht="15" customHeight="1" x14ac:dyDescent="0.25">
      <c r="A39" s="159" t="s">
        <v>602</v>
      </c>
      <c r="B39" s="165" t="str">
        <f>IF(C6="--","N/A",IF(B38=0,"YES",IF(B35&gt;=B11,"YES","NO")))</f>
        <v>N/A</v>
      </c>
      <c r="C39" s="152"/>
      <c r="D39" s="165" t="str">
        <f>IF(E6="--","N/A",IF(D35&gt;=B11,"YES","NO"))</f>
        <v>N/A</v>
      </c>
      <c r="E39" s="152"/>
      <c r="F39" s="165" t="str">
        <f>IF(G6="--","N/A",IF(F35&gt;=B11,"YES","NO"))</f>
        <v>N/A</v>
      </c>
      <c r="G39" s="152"/>
      <c r="H39" s="165" t="str">
        <f>IF(I6="--","N/A",IF(H35&gt;=B11,"YES","NO"))</f>
        <v>N/A</v>
      </c>
      <c r="I39" s="152"/>
      <c r="J39" s="165" t="str">
        <f>IF(K6="--","N/A",IF(J35&gt;=B11,"YES","NO"))</f>
        <v>N/A</v>
      </c>
      <c r="K39" s="152"/>
      <c r="O39" s="246" t="s">
        <v>449</v>
      </c>
    </row>
    <row r="40" spans="1:21" ht="15" customHeight="1" thickBot="1" x14ac:dyDescent="0.3">
      <c r="A40" s="159" t="s">
        <v>603</v>
      </c>
      <c r="B40" s="161" t="str">
        <f>IF(C6="--","N/A",IF(OR(C6="7-A Full Rooftop Disconnection - HSG A",C6="7-B Full Rooftop Disconnection - HSG B",C6="7-C Full Rooftop Disconnection - HSG C",C6="7-D Full Disconnection - HSG D"),0,IF(B39="YES",($B$11-B35)*43560/12*B8,"N/A")))</f>
        <v>N/A</v>
      </c>
      <c r="C40" s="162"/>
      <c r="D40" s="161" t="str">
        <f>IF(E6="--","N/A",IF(OR(E6="7-A Full Rooftop Disconnection - HSG A",E6="7-B Full Rooftop Disconnection - HSG B",E6="7-C Full Rooftop Disconnection - HSG C",E6="7-D Full Disconnection - HSG D"),0,IF(D39="YES",($B$11-D35)*43560/12*$B$8,"N/A")))</f>
        <v>N/A</v>
      </c>
      <c r="E40" s="162"/>
      <c r="F40" s="161" t="str">
        <f>IF(G6="--","N/A",IF(OR(G6="7-A Full Rooftop Disconnection - HSG A",G6="7-B Full Roofto Ddisconnection - HSG B",G6="7-C Full Rooftop Disconnection - HSG C",G6="7-D Full Disconnection - HSG D"),0,IF(F39="YES",($B$11-F35)*43560/12*$B$8,"N/A")))</f>
        <v>N/A</v>
      </c>
      <c r="G40" s="162"/>
      <c r="H40" s="161" t="str">
        <f>IF(I6="--","N/A",IF(OR(I6="7-A Full Rooftop Disconnection - HSG A",I6="7-B Full Rooftop Disconnection - HSG B",I6="7-C Full Rooftop Disconnection - HSG C",I6="7-D Full Disconnection - HSG D"),0,IF(H39="YES",($B$11-H35)*43560/12*$B$8,"N/A")))</f>
        <v>N/A</v>
      </c>
      <c r="I40" s="162"/>
      <c r="J40" s="161" t="str">
        <f>IF(K6="--","N/A",IF(OR(K6="7-A Full Rooftop Disconnection - HSG A",K6="7-B Full Rooftop Disconnection - HSG B",K6="7-C Full Rooftop Disconnection - HSG C",K6="7-D Full Disconnection - HSG D"),0,IF(J39="YES",($B$11-J35)*43560/12*$B$8,"N/A")))</f>
        <v>N/A</v>
      </c>
      <c r="K40" s="162"/>
      <c r="O40" s="349" t="s">
        <v>450</v>
      </c>
    </row>
    <row r="41" spans="1:21" ht="15" customHeight="1" x14ac:dyDescent="0.25">
      <c r="A41" s="186"/>
      <c r="B41" s="141"/>
      <c r="D41" s="141"/>
      <c r="F41" s="141"/>
      <c r="H41" s="141"/>
      <c r="J41" s="141"/>
      <c r="O41" s="246" t="s">
        <v>484</v>
      </c>
      <c r="P41" s="138"/>
      <c r="Q41" s="138"/>
      <c r="R41" s="138"/>
      <c r="U41" s="167"/>
    </row>
    <row r="42" spans="1:21" ht="15" customHeight="1" thickBot="1" x14ac:dyDescent="0.3">
      <c r="A42" s="166" t="s">
        <v>571</v>
      </c>
      <c r="B42" s="141"/>
      <c r="D42" s="141"/>
      <c r="F42" s="141"/>
      <c r="H42" s="141"/>
      <c r="J42" s="141"/>
      <c r="O42" s="188" t="s">
        <v>388</v>
      </c>
      <c r="U42" s="167"/>
    </row>
    <row r="43" spans="1:21" ht="15" customHeight="1" x14ac:dyDescent="0.25">
      <c r="A43" s="168" t="s">
        <v>572</v>
      </c>
      <c r="B43" s="169" t="str">
        <f>IF(C6="--","N/A",IF(B39="YES","N/A",$B$11-B35))</f>
        <v>N/A</v>
      </c>
      <c r="C43" s="164"/>
      <c r="D43" s="169" t="str">
        <f>IF(E6="--","N/A",IF(D39="YES","N/A",$B$11-D35))</f>
        <v>N/A</v>
      </c>
      <c r="E43" s="156"/>
      <c r="F43" s="169" t="str">
        <f>IF(G6="--","N/A",IF(F39="YES","N/A",$B$11-F35))</f>
        <v>N/A</v>
      </c>
      <c r="G43" s="156"/>
      <c r="H43" s="169" t="str">
        <f>IF(I6="--","N/A",IF(H39="YES","N/A",$B$11-H35))</f>
        <v>N/A</v>
      </c>
      <c r="I43" s="156"/>
      <c r="J43" s="169" t="str">
        <f>IF(K6="--","N/A",IF(J39="YES","N/A",$B$11-J35))</f>
        <v>N/A</v>
      </c>
      <c r="K43" s="156"/>
      <c r="O43" s="14" t="s">
        <v>590</v>
      </c>
      <c r="U43" s="167"/>
    </row>
    <row r="44" spans="1:21" ht="15" customHeight="1" x14ac:dyDescent="0.25">
      <c r="A44" s="168" t="s">
        <v>573</v>
      </c>
      <c r="B44" s="395" t="str">
        <f>IF(B43="N/A","N/A",B43*43560/12)</f>
        <v>N/A</v>
      </c>
      <c r="C44" s="152"/>
      <c r="D44" s="395" t="str">
        <f>IF(D43="N/A","N/A",D43*43560/12)</f>
        <v>N/A</v>
      </c>
      <c r="E44" s="152"/>
      <c r="F44" s="395" t="str">
        <f>IF(F43="N/A","N/A",F43*43560/12)</f>
        <v>N/A</v>
      </c>
      <c r="G44" s="152"/>
      <c r="H44" s="395" t="str">
        <f>IF(H43="N/A","N/A",H43*43560/12)</f>
        <v>N/A</v>
      </c>
      <c r="I44" s="152"/>
      <c r="J44" s="395" t="str">
        <f>IF(J43="N/A","N/A",J43*43560/12)</f>
        <v>N/A</v>
      </c>
      <c r="K44" s="152"/>
      <c r="O44" s="344" t="s">
        <v>591</v>
      </c>
    </row>
    <row r="45" spans="1:21" ht="15" customHeight="1" x14ac:dyDescent="0.25">
      <c r="A45" s="394" t="s">
        <v>574</v>
      </c>
      <c r="B45" s="404" t="str">
        <f>IF(C6="--","N/A",IF(B39="YES","N/A",B8*B44))</f>
        <v>N/A</v>
      </c>
      <c r="C45" s="152"/>
      <c r="D45" s="404" t="str">
        <f>IF(D43="N/A","N/A",$B$8*D44)</f>
        <v>N/A</v>
      </c>
      <c r="E45" s="152"/>
      <c r="F45" s="404" t="str">
        <f>IF(F43="N/A","N/A",$B$8*F44)</f>
        <v>N/A</v>
      </c>
      <c r="G45" s="152"/>
      <c r="H45" s="404" t="str">
        <f>IF(H43="N/A","N/A",$B$8*H44)</f>
        <v>N/A</v>
      </c>
      <c r="I45" s="152"/>
      <c r="J45" s="404" t="str">
        <f>IF(J43="N/A","N/A",$B$8*J44)</f>
        <v>N/A</v>
      </c>
      <c r="K45" s="152"/>
      <c r="O45" s="344" t="s">
        <v>592</v>
      </c>
    </row>
    <row r="46" spans="1:21" ht="15" customHeight="1" x14ac:dyDescent="0.25">
      <c r="A46" s="396" t="s">
        <v>579</v>
      </c>
      <c r="B46" s="405" t="str">
        <f>IF(C6="--","N/A",IF(B39="YES","N/A",B45/172800))</f>
        <v>N/A</v>
      </c>
      <c r="C46" s="152"/>
      <c r="D46" s="405" t="str">
        <f>IF(D43="N/A","N/A",D45/172800)</f>
        <v>N/A</v>
      </c>
      <c r="E46" s="152"/>
      <c r="F46" s="405" t="str">
        <f>IF(F43="N/A","N/A",F45/172800)</f>
        <v>N/A</v>
      </c>
      <c r="G46" s="152"/>
      <c r="H46" s="405" t="str">
        <f>IF(H43="N/A","N/A",H45/172800)</f>
        <v>N/A</v>
      </c>
      <c r="I46" s="152"/>
      <c r="J46" s="405" t="str">
        <f>IF(J43="N/A","N/A",J45/172800)</f>
        <v>N/A</v>
      </c>
      <c r="K46" s="152"/>
      <c r="O46" s="344" t="s">
        <v>593</v>
      </c>
    </row>
    <row r="47" spans="1:21" ht="15" customHeight="1" thickBot="1" x14ac:dyDescent="0.3">
      <c r="A47" s="396" t="s">
        <v>580</v>
      </c>
      <c r="B47" s="406" t="str">
        <f>IF(C6="--","N/A",IF(B39="YES","N/A",B46*5))</f>
        <v>N/A</v>
      </c>
      <c r="C47" s="162"/>
      <c r="D47" s="406" t="str">
        <f>IF(D43="N/A","N/A",D46*5)</f>
        <v>N/A</v>
      </c>
      <c r="E47" s="162"/>
      <c r="F47" s="406" t="str">
        <f>IF(F43="N/A","N/A",F46*5)</f>
        <v>N/A</v>
      </c>
      <c r="G47" s="162"/>
      <c r="H47" s="406" t="str">
        <f>IF(H43="N/A","N/A",H46*5)</f>
        <v>N/A</v>
      </c>
      <c r="I47" s="162"/>
      <c r="J47" s="406" t="str">
        <f>IF(J43="N/A","N/A",J46*5)</f>
        <v>N/A</v>
      </c>
      <c r="K47" s="162"/>
      <c r="O47" s="188" t="s">
        <v>388</v>
      </c>
    </row>
    <row r="48" spans="1:21" ht="15" customHeight="1" x14ac:dyDescent="0.25">
      <c r="B48" s="170"/>
      <c r="O48" s="14" t="s">
        <v>453</v>
      </c>
    </row>
    <row r="49" spans="1:15" ht="15" customHeight="1" x14ac:dyDescent="0.25">
      <c r="A49" s="487" t="s">
        <v>610</v>
      </c>
      <c r="B49" s="487"/>
      <c r="C49" s="487"/>
      <c r="D49" s="487"/>
      <c r="E49" s="487"/>
      <c r="F49" s="487"/>
      <c r="G49" s="487"/>
      <c r="H49" s="487"/>
      <c r="I49" s="487"/>
      <c r="J49" s="487"/>
      <c r="K49" s="487"/>
      <c r="O49" s="14" t="s">
        <v>454</v>
      </c>
    </row>
    <row r="50" spans="1:15" ht="15" customHeight="1" x14ac:dyDescent="0.25">
      <c r="A50" s="485" t="s">
        <v>606</v>
      </c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O50" s="188" t="s">
        <v>388</v>
      </c>
    </row>
    <row r="51" spans="1:15" ht="15" customHeight="1" x14ac:dyDescent="0.25">
      <c r="E51" s="171"/>
      <c r="F51" s="171"/>
      <c r="G51" s="171"/>
      <c r="O51" s="14" t="s">
        <v>552</v>
      </c>
    </row>
    <row r="52" spans="1:15" x14ac:dyDescent="0.25">
      <c r="E52" s="171"/>
      <c r="F52" s="171"/>
      <c r="G52" s="171"/>
      <c r="O52" s="344" t="s">
        <v>551</v>
      </c>
    </row>
    <row r="53" spans="1:15" x14ac:dyDescent="0.25">
      <c r="O53" s="14" t="s">
        <v>553</v>
      </c>
    </row>
    <row r="54" spans="1:15" x14ac:dyDescent="0.25">
      <c r="O54" s="14" t="s">
        <v>554</v>
      </c>
    </row>
    <row r="55" spans="1:15" x14ac:dyDescent="0.25">
      <c r="O55" s="344" t="s">
        <v>555</v>
      </c>
    </row>
    <row r="56" spans="1:15" x14ac:dyDescent="0.25">
      <c r="O56" s="140" t="s">
        <v>556</v>
      </c>
    </row>
    <row r="57" spans="1:15" x14ac:dyDescent="0.25">
      <c r="O57" s="188" t="s">
        <v>388</v>
      </c>
    </row>
    <row r="58" spans="1:15" x14ac:dyDescent="0.25">
      <c r="O58" s="14" t="s">
        <v>457</v>
      </c>
    </row>
    <row r="59" spans="1:15" x14ac:dyDescent="0.25">
      <c r="O59" s="14" t="s">
        <v>557</v>
      </c>
    </row>
    <row r="60" spans="1:15" x14ac:dyDescent="0.25">
      <c r="O60" s="14" t="s">
        <v>458</v>
      </c>
    </row>
    <row r="61" spans="1:15" x14ac:dyDescent="0.25">
      <c r="O61" s="344" t="s">
        <v>558</v>
      </c>
    </row>
    <row r="62" spans="1:15" x14ac:dyDescent="0.25">
      <c r="O62" s="188" t="s">
        <v>388</v>
      </c>
    </row>
    <row r="63" spans="1:15" x14ac:dyDescent="0.25">
      <c r="O63" s="14" t="s">
        <v>460</v>
      </c>
    </row>
    <row r="64" spans="1:15" x14ac:dyDescent="0.25">
      <c r="O64" s="14" t="s">
        <v>461</v>
      </c>
    </row>
    <row r="65" spans="15:15" x14ac:dyDescent="0.25">
      <c r="O65" s="14" t="s">
        <v>462</v>
      </c>
    </row>
    <row r="66" spans="15:15" x14ac:dyDescent="0.25">
      <c r="O66" s="14" t="s">
        <v>463</v>
      </c>
    </row>
    <row r="67" spans="15:15" x14ac:dyDescent="0.25">
      <c r="O67" s="188" t="s">
        <v>388</v>
      </c>
    </row>
    <row r="68" spans="15:15" x14ac:dyDescent="0.25">
      <c r="O68" s="14" t="s">
        <v>465</v>
      </c>
    </row>
    <row r="69" spans="15:15" x14ac:dyDescent="0.25">
      <c r="O69" s="14" t="s">
        <v>486</v>
      </c>
    </row>
    <row r="70" spans="15:15" x14ac:dyDescent="0.25">
      <c r="O70" s="14" t="s">
        <v>487</v>
      </c>
    </row>
    <row r="71" spans="15:15" x14ac:dyDescent="0.25">
      <c r="O71" s="14" t="s">
        <v>466</v>
      </c>
    </row>
    <row r="72" spans="15:15" x14ac:dyDescent="0.25">
      <c r="O72" s="188" t="s">
        <v>388</v>
      </c>
    </row>
    <row r="73" spans="15:15" x14ac:dyDescent="0.25">
      <c r="O73" s="14" t="s">
        <v>559</v>
      </c>
    </row>
    <row r="74" spans="15:15" x14ac:dyDescent="0.25">
      <c r="O74" s="14" t="s">
        <v>468</v>
      </c>
    </row>
    <row r="75" spans="15:15" x14ac:dyDescent="0.25">
      <c r="O75" s="188" t="s">
        <v>388</v>
      </c>
    </row>
    <row r="76" spans="15:15" x14ac:dyDescent="0.25">
      <c r="O76" s="14" t="s">
        <v>470</v>
      </c>
    </row>
    <row r="77" spans="15:15" x14ac:dyDescent="0.25">
      <c r="O77" s="14" t="s">
        <v>471</v>
      </c>
    </row>
    <row r="78" spans="15:15" x14ac:dyDescent="0.25">
      <c r="O78" s="14" t="s">
        <v>473</v>
      </c>
    </row>
    <row r="79" spans="15:15" x14ac:dyDescent="0.25">
      <c r="O79" s="14" t="s">
        <v>472</v>
      </c>
    </row>
    <row r="80" spans="15:15" x14ac:dyDescent="0.25">
      <c r="O80" s="188" t="s">
        <v>388</v>
      </c>
    </row>
    <row r="81" spans="3:15" x14ac:dyDescent="0.25">
      <c r="O81" s="188" t="s">
        <v>560</v>
      </c>
    </row>
    <row r="82" spans="3:15" x14ac:dyDescent="0.25">
      <c r="O82" s="188" t="s">
        <v>388</v>
      </c>
    </row>
    <row r="83" spans="3:15" x14ac:dyDescent="0.25">
      <c r="O83" s="188" t="s">
        <v>481</v>
      </c>
    </row>
    <row r="84" spans="3:15" x14ac:dyDescent="0.25">
      <c r="O84" s="14" t="s">
        <v>480</v>
      </c>
    </row>
    <row r="85" spans="3:15" x14ac:dyDescent="0.25">
      <c r="O85" s="188" t="s">
        <v>388</v>
      </c>
    </row>
    <row r="86" spans="3:15" x14ac:dyDescent="0.25">
      <c r="O86" s="186" t="s">
        <v>612</v>
      </c>
    </row>
    <row r="87" spans="3:15" x14ac:dyDescent="0.25">
      <c r="O87" s="186" t="s">
        <v>613</v>
      </c>
    </row>
    <row r="88" spans="3:15" x14ac:dyDescent="0.25">
      <c r="O88" s="186" t="s">
        <v>614</v>
      </c>
    </row>
    <row r="89" spans="3:15" x14ac:dyDescent="0.25">
      <c r="O89" s="186" t="s">
        <v>615</v>
      </c>
    </row>
    <row r="90" spans="3:15" x14ac:dyDescent="0.25">
      <c r="O90" s="186" t="s">
        <v>581</v>
      </c>
    </row>
    <row r="91" spans="3:15" x14ac:dyDescent="0.25">
      <c r="C91" s="194"/>
      <c r="D91" s="15"/>
      <c r="E91" s="90"/>
      <c r="F91" s="90"/>
    </row>
  </sheetData>
  <sheetProtection algorithmName="SHA-512" hashValue="JBkYfzWmvwObtN4c1D6Lm6T5l2xqHWdF3uB6zIR7VErSsG9Fc9kheilUyCiDAym9Vv6z+ZNF+uaU0M0eQb6tyQ==" saltValue="XaT0ZeW85fRRAIjDZ4wsAA==" spinCount="100000" sheet="1" objects="1" scenarios="1"/>
  <mergeCells count="10">
    <mergeCell ref="A50:K50"/>
    <mergeCell ref="A49:K49"/>
    <mergeCell ref="B1:K1"/>
    <mergeCell ref="B2:K2"/>
    <mergeCell ref="B3:K3"/>
    <mergeCell ref="D5:E5"/>
    <mergeCell ref="F5:G5"/>
    <mergeCell ref="H5:I5"/>
    <mergeCell ref="J5:K5"/>
    <mergeCell ref="B5:C5"/>
  </mergeCells>
  <conditionalFormatting sqref="B15">
    <cfRule type="expression" dxfId="37" priority="51">
      <formula>$B$16=0</formula>
    </cfRule>
  </conditionalFormatting>
  <conditionalFormatting sqref="B25">
    <cfRule type="expression" dxfId="36" priority="5">
      <formula>OR($C$6="14-A Compost Amended Soil - HSG A",$C$6="14-B Compost Amended Soil - HSG B")</formula>
    </cfRule>
    <cfRule type="expression" dxfId="35" priority="10">
      <formula>AND($B$16=0,$B$26=0 )</formula>
    </cfRule>
    <cfRule type="expression" dxfId="34" priority="48">
      <formula>$B$16&gt;0</formula>
    </cfRule>
  </conditionalFormatting>
  <conditionalFormatting sqref="B15 B25">
    <cfRule type="expression" dxfId="33" priority="47">
      <formula>$C$6="--"</formula>
    </cfRule>
  </conditionalFormatting>
  <conditionalFormatting sqref="F15">
    <cfRule type="expression" dxfId="32" priority="20">
      <formula>$G$6="No-BMP"</formula>
    </cfRule>
    <cfRule type="expression" dxfId="31" priority="21">
      <formula>$G$6="--"</formula>
    </cfRule>
    <cfRule type="expression" dxfId="30" priority="42">
      <formula>$F$16=0</formula>
    </cfRule>
  </conditionalFormatting>
  <conditionalFormatting sqref="F25">
    <cfRule type="expression" dxfId="29" priority="3">
      <formula>OR($G$6="14-A Compost Amended Soil - HSG A",$G$6="14-B Compost Amended Soil - HSG B")</formula>
    </cfRule>
    <cfRule type="expression" dxfId="28" priority="8">
      <formula>AND($F$16=0,$F$26=0 )</formula>
    </cfRule>
    <cfRule type="expression" dxfId="27" priority="23">
      <formula>$G$6="0-No BMP"</formula>
    </cfRule>
    <cfRule type="expression" dxfId="26" priority="41">
      <formula>$G$6="--"</formula>
    </cfRule>
    <cfRule type="expression" dxfId="25" priority="43">
      <formula>$F$16&gt;0</formula>
    </cfRule>
  </conditionalFormatting>
  <conditionalFormatting sqref="H15">
    <cfRule type="expression" dxfId="24" priority="18">
      <formula>$I$6="No-BMP"</formula>
    </cfRule>
    <cfRule type="expression" dxfId="23" priority="19">
      <formula>$I$6="--"</formula>
    </cfRule>
    <cfRule type="expression" dxfId="22" priority="39">
      <formula>$H$16=0</formula>
    </cfRule>
  </conditionalFormatting>
  <conditionalFormatting sqref="H25">
    <cfRule type="expression" dxfId="21" priority="2">
      <formula>OR($I$6="14-A Compost Amended Soil - HSG A",$I$6="14-B Compost Amended Soil - HSG B")</formula>
    </cfRule>
    <cfRule type="expression" dxfId="20" priority="7">
      <formula>AND($H$16=0,$H$26=0 )</formula>
    </cfRule>
    <cfRule type="expression" dxfId="19" priority="22">
      <formula>$I$6="0-No BMP"</formula>
    </cfRule>
    <cfRule type="expression" dxfId="18" priority="38">
      <formula>$I$6="--"</formula>
    </cfRule>
    <cfRule type="expression" dxfId="17" priority="40">
      <formula>$H$16&gt;0</formula>
    </cfRule>
  </conditionalFormatting>
  <conditionalFormatting sqref="J15">
    <cfRule type="expression" dxfId="16" priority="17">
      <formula>$K$6="No-BMP"</formula>
    </cfRule>
    <cfRule type="expression" dxfId="15" priority="36">
      <formula>$K$6="--"</formula>
    </cfRule>
    <cfRule type="expression" dxfId="14" priority="37">
      <formula>$J$16=0</formula>
    </cfRule>
  </conditionalFormatting>
  <conditionalFormatting sqref="J25">
    <cfRule type="expression" dxfId="13" priority="1">
      <formula>OR($K$6="14-A Compost Amended Soil - HSG A",$K$6="14-B Compost Amended Soil - HSG B")</formula>
    </cfRule>
    <cfRule type="expression" dxfId="12" priority="6">
      <formula>AND($J$16=0,$J$26=0 )</formula>
    </cfRule>
    <cfRule type="expression" dxfId="11" priority="15">
      <formula>$K$6="0-No BMP"</formula>
    </cfRule>
    <cfRule type="expression" dxfId="10" priority="16">
      <formula>$K$6="--"</formula>
    </cfRule>
    <cfRule type="expression" dxfId="9" priority="35">
      <formula>$J$16&gt;0</formula>
    </cfRule>
  </conditionalFormatting>
  <conditionalFormatting sqref="B25 B15">
    <cfRule type="expression" dxfId="8" priority="34">
      <formula>$C$6="0-No BMP"</formula>
    </cfRule>
  </conditionalFormatting>
  <conditionalFormatting sqref="D15">
    <cfRule type="expression" dxfId="7" priority="29">
      <formula>$D$16=0</formula>
    </cfRule>
  </conditionalFormatting>
  <conditionalFormatting sqref="D15">
    <cfRule type="expression" dxfId="6" priority="28">
      <formula>$E$6="--"</formula>
    </cfRule>
  </conditionalFormatting>
  <conditionalFormatting sqref="D15">
    <cfRule type="expression" dxfId="5" priority="27">
      <formula>$E$6="0-No BMP"</formula>
    </cfRule>
  </conditionalFormatting>
  <conditionalFormatting sqref="D25">
    <cfRule type="expression" dxfId="4" priority="4">
      <formula>OR($E$6="14-A Compost Amended Soil - HSG A",$E$6="14-B Compost Amended Soil - HSG B")</formula>
    </cfRule>
    <cfRule type="expression" dxfId="3" priority="9">
      <formula>AND($D$16=0,$D$26=0)</formula>
    </cfRule>
    <cfRule type="expression" dxfId="2" priority="26">
      <formula>$D$16&gt;0</formula>
    </cfRule>
  </conditionalFormatting>
  <conditionalFormatting sqref="D25">
    <cfRule type="expression" dxfId="1" priority="25">
      <formula>$E$6="--"</formula>
    </cfRule>
  </conditionalFormatting>
  <conditionalFormatting sqref="D25">
    <cfRule type="expression" dxfId="0" priority="24">
      <formula>$E$6="0-No BMP"</formula>
    </cfRule>
  </conditionalFormatting>
  <dataValidations count="1">
    <dataValidation type="list" allowBlank="1" showInputMessage="1" showErrorMessage="1" sqref="K6 I6 G6 E6 C6" xr:uid="{00000000-0002-0000-0300-000000000000}">
      <formula1>$O$7:$O$90</formula1>
    </dataValidation>
  </dataValidations>
  <pageMargins left="0.7" right="0.7" top="0.75" bottom="0.75" header="0.3" footer="0.3"/>
  <pageSetup paperSize="17" scale="90" orientation="landscape" horizontalDpi="300" verticalDpi="300" r:id="rId1"/>
  <rowBreaks count="1" manualBreakCount="1">
    <brk id="4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6" r:id="rId4" name="Button 14">
              <controlPr locked="0" defaultSize="0" print="0" autoFill="0" autoPict="0" macro="[0]!resetRPv_button">
                <anchor moveWithCells="1" sizeWithCells="1">
                  <from>
                    <xdr:col>0</xdr:col>
                    <xdr:colOff>923925</xdr:colOff>
                    <xdr:row>4</xdr:row>
                    <xdr:rowOff>28575</xdr:rowOff>
                  </from>
                  <to>
                    <xdr:col>0</xdr:col>
                    <xdr:colOff>1857375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AP100"/>
  <sheetViews>
    <sheetView zoomScaleNormal="100" workbookViewId="0">
      <selection activeCell="B8" sqref="B8"/>
    </sheetView>
  </sheetViews>
  <sheetFormatPr defaultRowHeight="15" x14ac:dyDescent="0.25"/>
  <cols>
    <col min="1" max="1" width="49.28515625" style="51" customWidth="1"/>
    <col min="2" max="2" width="11.5703125" style="51" bestFit="1" customWidth="1"/>
    <col min="3" max="13" width="9.5703125" style="51" customWidth="1"/>
    <col min="14" max="21" width="9.5703125" style="41" customWidth="1"/>
    <col min="22" max="23" width="9.140625" style="41"/>
    <col min="24" max="24" width="30.5703125" style="41" hidden="1" customWidth="1"/>
    <col min="25" max="25" width="33.7109375" style="41" hidden="1" customWidth="1"/>
    <col min="26" max="26" width="12.28515625" style="41" hidden="1" customWidth="1"/>
    <col min="27" max="27" width="12.140625" style="42" hidden="1" customWidth="1"/>
    <col min="28" max="28" width="12.140625" style="41" hidden="1" customWidth="1"/>
    <col min="29" max="29" width="12" style="41" hidden="1" customWidth="1"/>
    <col min="30" max="38" width="9.140625" style="41"/>
    <col min="39" max="16384" width="9.140625" style="51"/>
  </cols>
  <sheetData>
    <row r="1" spans="1:42" ht="15.75" x14ac:dyDescent="0.25">
      <c r="A1" s="82" t="s">
        <v>4</v>
      </c>
      <c r="B1" s="502">
        <f>'C.A. RCN'!C1</f>
        <v>0</v>
      </c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139"/>
      <c r="W1" s="139"/>
      <c r="Z1" s="501" t="s">
        <v>609</v>
      </c>
      <c r="AA1" s="501"/>
      <c r="AB1" s="501"/>
      <c r="AD1" s="139"/>
      <c r="AE1" s="42"/>
      <c r="AM1" s="41"/>
      <c r="AN1" s="41"/>
      <c r="AO1" s="41"/>
      <c r="AP1" s="41"/>
    </row>
    <row r="2" spans="1:42" ht="15.75" x14ac:dyDescent="0.25">
      <c r="A2" s="82" t="s">
        <v>7</v>
      </c>
      <c r="B2" s="502">
        <f>'C.A. RCN'!C2</f>
        <v>0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139"/>
      <c r="W2" s="139"/>
      <c r="Z2" s="434" t="s">
        <v>271</v>
      </c>
      <c r="AA2" s="435" t="s">
        <v>272</v>
      </c>
      <c r="AB2" s="434" t="s">
        <v>270</v>
      </c>
      <c r="AD2" s="139"/>
      <c r="AE2" s="42"/>
      <c r="AM2" s="41"/>
      <c r="AN2" s="41"/>
      <c r="AO2" s="41"/>
      <c r="AP2" s="41"/>
    </row>
    <row r="3" spans="1:42" ht="15.75" x14ac:dyDescent="0.25">
      <c r="A3" s="82" t="s">
        <v>5</v>
      </c>
      <c r="B3" s="503"/>
      <c r="C3" s="504"/>
      <c r="D3" s="504"/>
      <c r="E3" s="505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7"/>
      <c r="V3" s="139"/>
      <c r="W3" s="139"/>
      <c r="Z3" s="436">
        <v>2.8</v>
      </c>
      <c r="AA3" s="437">
        <v>0.49</v>
      </c>
      <c r="AB3" s="438">
        <v>90</v>
      </c>
      <c r="AD3" s="139"/>
      <c r="AE3" s="42"/>
      <c r="AM3" s="41"/>
      <c r="AN3" s="41"/>
      <c r="AO3" s="41"/>
      <c r="AP3" s="41"/>
    </row>
    <row r="4" spans="1:42" ht="16.5" customHeight="1" thickBot="1" x14ac:dyDescent="0.3">
      <c r="A4" s="389" t="s">
        <v>295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39"/>
      <c r="O4" s="139"/>
      <c r="P4" s="139"/>
      <c r="Q4" s="139"/>
      <c r="R4" s="139"/>
      <c r="S4" s="139"/>
      <c r="T4" s="139"/>
      <c r="U4" s="139"/>
      <c r="V4" s="139"/>
      <c r="W4" s="139"/>
      <c r="AD4" s="139"/>
      <c r="AE4" s="42"/>
      <c r="AM4" s="41"/>
      <c r="AN4" s="41"/>
      <c r="AO4" s="41"/>
      <c r="AP4" s="41"/>
    </row>
    <row r="5" spans="1:42" ht="16.5" thickBot="1" x14ac:dyDescent="0.3">
      <c r="A5" s="249"/>
      <c r="B5" s="488" t="s">
        <v>1</v>
      </c>
      <c r="C5" s="495"/>
      <c r="D5" s="495"/>
      <c r="E5" s="495"/>
      <c r="F5" s="488" t="s">
        <v>2</v>
      </c>
      <c r="G5" s="495"/>
      <c r="H5" s="495"/>
      <c r="I5" s="496"/>
      <c r="J5" s="488" t="s">
        <v>3</v>
      </c>
      <c r="K5" s="495"/>
      <c r="L5" s="495"/>
      <c r="M5" s="496"/>
      <c r="N5" s="492" t="s">
        <v>9</v>
      </c>
      <c r="O5" s="495"/>
      <c r="P5" s="495"/>
      <c r="Q5" s="495"/>
      <c r="R5" s="488" t="s">
        <v>10</v>
      </c>
      <c r="S5" s="495"/>
      <c r="T5" s="495"/>
      <c r="U5" s="496"/>
      <c r="V5" s="139"/>
      <c r="W5" s="139"/>
      <c r="X5" s="497" t="s">
        <v>216</v>
      </c>
      <c r="Y5" s="497"/>
      <c r="Z5" s="497"/>
      <c r="AA5" s="497"/>
      <c r="AB5" s="497"/>
      <c r="AC5" s="497"/>
      <c r="AD5" s="139"/>
      <c r="AE5" s="42"/>
      <c r="AM5" s="41"/>
      <c r="AN5" s="41"/>
      <c r="AO5" s="41"/>
      <c r="AP5" s="41"/>
    </row>
    <row r="6" spans="1:42" ht="30" customHeight="1" x14ac:dyDescent="0.25">
      <c r="A6" s="249"/>
      <c r="B6" s="250" t="s">
        <v>6</v>
      </c>
      <c r="C6" s="498" t="str">
        <f>RPv!C6</f>
        <v>--</v>
      </c>
      <c r="D6" s="498"/>
      <c r="E6" s="499"/>
      <c r="F6" s="250" t="s">
        <v>6</v>
      </c>
      <c r="G6" s="493" t="str">
        <f>RPv!E6</f>
        <v>--</v>
      </c>
      <c r="H6" s="493"/>
      <c r="I6" s="494"/>
      <c r="J6" s="250" t="s">
        <v>6</v>
      </c>
      <c r="K6" s="493" t="str">
        <f>RPv!G6</f>
        <v>--</v>
      </c>
      <c r="L6" s="493"/>
      <c r="M6" s="494"/>
      <c r="N6" s="251" t="s">
        <v>6</v>
      </c>
      <c r="O6" s="493" t="str">
        <f>RPv!I6</f>
        <v>--</v>
      </c>
      <c r="P6" s="493"/>
      <c r="Q6" s="500"/>
      <c r="R6" s="250" t="s">
        <v>6</v>
      </c>
      <c r="S6" s="493" t="str">
        <f>RPv!K6</f>
        <v>--</v>
      </c>
      <c r="T6" s="493"/>
      <c r="U6" s="494"/>
      <c r="V6" s="139"/>
      <c r="W6" s="139"/>
      <c r="X6" s="139" t="s">
        <v>217</v>
      </c>
      <c r="Y6" s="139" t="s">
        <v>221</v>
      </c>
      <c r="Z6" s="139" t="s">
        <v>220</v>
      </c>
      <c r="AA6" s="139" t="s">
        <v>273</v>
      </c>
      <c r="AB6" s="139" t="s">
        <v>274</v>
      </c>
      <c r="AC6" s="139" t="s">
        <v>275</v>
      </c>
      <c r="AD6" s="139"/>
      <c r="AE6" s="42"/>
      <c r="AM6" s="41"/>
      <c r="AN6" s="41"/>
      <c r="AO6" s="41"/>
      <c r="AP6" s="41"/>
    </row>
    <row r="7" spans="1:42" x14ac:dyDescent="0.25">
      <c r="A7" s="166" t="s">
        <v>318</v>
      </c>
      <c r="B7" s="142" t="s">
        <v>0</v>
      </c>
      <c r="C7" s="252" t="s">
        <v>271</v>
      </c>
      <c r="D7" s="253" t="s">
        <v>272</v>
      </c>
      <c r="E7" s="254" t="s">
        <v>270</v>
      </c>
      <c r="F7" s="142" t="s">
        <v>0</v>
      </c>
      <c r="G7" s="252" t="s">
        <v>271</v>
      </c>
      <c r="H7" s="253" t="s">
        <v>272</v>
      </c>
      <c r="I7" s="255" t="s">
        <v>270</v>
      </c>
      <c r="J7" s="142" t="s">
        <v>0</v>
      </c>
      <c r="K7" s="252" t="s">
        <v>271</v>
      </c>
      <c r="L7" s="253" t="s">
        <v>272</v>
      </c>
      <c r="M7" s="255" t="s">
        <v>270</v>
      </c>
      <c r="N7" s="256" t="s">
        <v>0</v>
      </c>
      <c r="O7" s="252" t="s">
        <v>271</v>
      </c>
      <c r="P7" s="253" t="s">
        <v>272</v>
      </c>
      <c r="Q7" s="254" t="s">
        <v>270</v>
      </c>
      <c r="R7" s="142" t="s">
        <v>0</v>
      </c>
      <c r="S7" s="252" t="s">
        <v>271</v>
      </c>
      <c r="T7" s="253" t="s">
        <v>272</v>
      </c>
      <c r="U7" s="255" t="s">
        <v>270</v>
      </c>
      <c r="V7" s="139"/>
      <c r="W7" s="139"/>
      <c r="X7" s="139"/>
      <c r="Y7" s="139"/>
      <c r="Z7" s="139"/>
      <c r="AA7" s="247"/>
      <c r="AB7" s="247"/>
      <c r="AC7" s="248"/>
      <c r="AD7" s="139"/>
      <c r="AE7" s="42"/>
      <c r="AM7" s="41"/>
      <c r="AN7" s="41"/>
      <c r="AO7" s="41"/>
      <c r="AP7" s="41"/>
    </row>
    <row r="8" spans="1:42" x14ac:dyDescent="0.25">
      <c r="A8" s="168" t="s">
        <v>159</v>
      </c>
      <c r="B8" s="147">
        <f>RPv!B8</f>
        <v>0</v>
      </c>
      <c r="C8" s="257"/>
      <c r="D8" s="258"/>
      <c r="E8" s="258"/>
      <c r="F8" s="149"/>
      <c r="G8" s="258"/>
      <c r="H8" s="258"/>
      <c r="I8" s="259"/>
      <c r="J8" s="149"/>
      <c r="K8" s="258"/>
      <c r="L8" s="258"/>
      <c r="M8" s="259"/>
      <c r="N8" s="258"/>
      <c r="O8" s="258"/>
      <c r="P8" s="258"/>
      <c r="Q8" s="258"/>
      <c r="R8" s="149"/>
      <c r="S8" s="258"/>
      <c r="T8" s="258"/>
      <c r="U8" s="259"/>
      <c r="V8" s="139"/>
      <c r="W8" s="139"/>
      <c r="X8" s="139" t="s">
        <v>218</v>
      </c>
      <c r="Y8" s="139" t="s">
        <v>219</v>
      </c>
      <c r="Z8" s="139">
        <v>1</v>
      </c>
      <c r="AA8" s="247">
        <v>10.4</v>
      </c>
      <c r="AB8" s="247">
        <v>0.72</v>
      </c>
      <c r="AC8" s="296" t="s">
        <v>189</v>
      </c>
      <c r="AD8" s="139"/>
      <c r="AE8" s="42"/>
      <c r="AM8" s="41"/>
      <c r="AN8" s="41"/>
      <c r="AO8" s="41"/>
      <c r="AP8" s="41"/>
    </row>
    <row r="9" spans="1:42" x14ac:dyDescent="0.25">
      <c r="A9" s="168" t="s">
        <v>301</v>
      </c>
      <c r="B9" s="260" t="e">
        <f>RPv!B9</f>
        <v>#DIV/0!</v>
      </c>
      <c r="C9" s="261"/>
      <c r="D9" s="258"/>
      <c r="E9" s="258"/>
      <c r="F9" s="149"/>
      <c r="G9" s="258"/>
      <c r="H9" s="258"/>
      <c r="I9" s="259"/>
      <c r="J9" s="149"/>
      <c r="K9" s="258"/>
      <c r="L9" s="258"/>
      <c r="M9" s="259"/>
      <c r="N9" s="258"/>
      <c r="O9" s="258"/>
      <c r="P9" s="258"/>
      <c r="Q9" s="258"/>
      <c r="R9" s="149"/>
      <c r="S9" s="258"/>
      <c r="T9" s="258"/>
      <c r="U9" s="259"/>
      <c r="V9" s="139"/>
      <c r="W9" s="139"/>
      <c r="X9" s="139"/>
      <c r="Y9" s="139"/>
      <c r="Z9" s="139"/>
      <c r="AA9" s="247"/>
      <c r="AB9" s="247"/>
      <c r="AC9" s="296"/>
      <c r="AD9" s="139"/>
      <c r="AE9" s="42"/>
      <c r="AM9" s="41"/>
      <c r="AN9" s="41"/>
      <c r="AO9" s="41"/>
      <c r="AP9" s="41"/>
    </row>
    <row r="10" spans="1:42" x14ac:dyDescent="0.25">
      <c r="A10" s="217" t="s">
        <v>319</v>
      </c>
      <c r="B10" s="262" t="e">
        <f>RPv!B24</f>
        <v>#DIV/0!</v>
      </c>
      <c r="C10" s="263"/>
      <c r="D10" s="258"/>
      <c r="E10" s="258"/>
      <c r="F10" s="149"/>
      <c r="G10" s="258"/>
      <c r="H10" s="258"/>
      <c r="I10" s="259"/>
      <c r="J10" s="149"/>
      <c r="K10" s="258"/>
      <c r="L10" s="258"/>
      <c r="M10" s="259"/>
      <c r="N10" s="258"/>
      <c r="O10" s="258"/>
      <c r="P10" s="258"/>
      <c r="Q10" s="258"/>
      <c r="R10" s="149"/>
      <c r="S10" s="258"/>
      <c r="T10" s="258"/>
      <c r="U10" s="259"/>
      <c r="V10" s="139"/>
      <c r="W10" s="139"/>
      <c r="X10" s="139"/>
      <c r="Y10" s="139" t="s">
        <v>257</v>
      </c>
      <c r="Z10" s="139">
        <v>2</v>
      </c>
      <c r="AA10" s="247">
        <v>6.3</v>
      </c>
      <c r="AB10" s="247">
        <v>0.43</v>
      </c>
      <c r="AC10" s="296" t="s">
        <v>189</v>
      </c>
      <c r="AD10" s="139"/>
      <c r="AE10" s="42"/>
      <c r="AM10" s="41"/>
      <c r="AN10" s="41"/>
      <c r="AO10" s="41"/>
      <c r="AP10" s="41"/>
    </row>
    <row r="11" spans="1:42" ht="15.75" thickBot="1" x14ac:dyDescent="0.3">
      <c r="A11" s="168" t="s">
        <v>320</v>
      </c>
      <c r="B11" s="264" t="e">
        <f>B8*B10*102790</f>
        <v>#DIV/0!</v>
      </c>
      <c r="C11" s="265"/>
      <c r="D11" s="266"/>
      <c r="E11" s="266"/>
      <c r="F11" s="267"/>
      <c r="G11" s="266"/>
      <c r="H11" s="266"/>
      <c r="I11" s="268"/>
      <c r="J11" s="267"/>
      <c r="K11" s="266"/>
      <c r="L11" s="266"/>
      <c r="M11" s="268"/>
      <c r="N11" s="266"/>
      <c r="O11" s="266"/>
      <c r="P11" s="266"/>
      <c r="Q11" s="266"/>
      <c r="R11" s="267"/>
      <c r="S11" s="266"/>
      <c r="T11" s="266"/>
      <c r="U11" s="268"/>
      <c r="V11" s="139"/>
      <c r="W11" s="139"/>
      <c r="X11" s="139"/>
      <c r="Y11" s="139" t="s">
        <v>256</v>
      </c>
      <c r="Z11" s="139">
        <v>2</v>
      </c>
      <c r="AA11" s="247"/>
      <c r="AB11" s="247"/>
      <c r="AC11" s="296"/>
      <c r="AD11" s="139"/>
      <c r="AE11" s="42"/>
      <c r="AM11" s="41"/>
      <c r="AN11" s="41"/>
      <c r="AO11" s="41"/>
      <c r="AP11" s="41"/>
    </row>
    <row r="12" spans="1:42" ht="12" customHeight="1" x14ac:dyDescent="0.25">
      <c r="A12" s="168"/>
      <c r="B12" s="155"/>
      <c r="C12" s="155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139"/>
      <c r="W12" s="139"/>
      <c r="X12" s="139"/>
      <c r="Y12" s="139" t="s">
        <v>222</v>
      </c>
      <c r="Z12" s="139">
        <v>3</v>
      </c>
      <c r="AA12" s="247">
        <v>10.1</v>
      </c>
      <c r="AB12" s="247">
        <v>0.67</v>
      </c>
      <c r="AC12" s="296" t="s">
        <v>189</v>
      </c>
      <c r="AD12" s="139"/>
      <c r="AE12" s="42"/>
      <c r="AM12" s="41"/>
      <c r="AN12" s="41"/>
      <c r="AO12" s="41"/>
      <c r="AP12" s="41"/>
    </row>
    <row r="13" spans="1:42" ht="15.75" thickBot="1" x14ac:dyDescent="0.3">
      <c r="A13" s="166" t="s">
        <v>321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139"/>
      <c r="W13" s="139"/>
      <c r="X13" s="139"/>
      <c r="Y13" s="139" t="s">
        <v>223</v>
      </c>
      <c r="Z13" s="139">
        <v>4</v>
      </c>
      <c r="AA13" s="247">
        <v>5.3</v>
      </c>
      <c r="AB13" s="247">
        <v>0.49</v>
      </c>
      <c r="AC13" s="296" t="s">
        <v>189</v>
      </c>
      <c r="AD13" s="270"/>
      <c r="AE13" s="42"/>
      <c r="AF13" s="42"/>
      <c r="AG13" s="42"/>
      <c r="AH13" s="42"/>
      <c r="AI13" s="42"/>
      <c r="AJ13" s="42"/>
      <c r="AM13" s="41"/>
      <c r="AN13" s="41"/>
      <c r="AO13" s="41"/>
      <c r="AP13" s="41"/>
    </row>
    <row r="14" spans="1:42" x14ac:dyDescent="0.25">
      <c r="A14" s="168" t="s">
        <v>302</v>
      </c>
      <c r="B14" s="271"/>
      <c r="C14" s="272" t="str">
        <f>IF(C6="--","N/A",$Z$3)</f>
        <v>N/A</v>
      </c>
      <c r="D14" s="272" t="str">
        <f>IF(C6="--","N/A",$AA$3)</f>
        <v>N/A</v>
      </c>
      <c r="E14" s="439" t="str">
        <f>IF(C6="--","N/A",$AB$3)</f>
        <v>N/A</v>
      </c>
      <c r="F14" s="273"/>
      <c r="G14" s="274" t="str">
        <f>IF(G6="--","N/A",C24)</f>
        <v>N/A</v>
      </c>
      <c r="H14" s="272" t="str">
        <f>IF(G6="--","N/A",D24)</f>
        <v>N/A</v>
      </c>
      <c r="I14" s="439" t="str">
        <f>IF(G6="--","N/A",E24)</f>
        <v>N/A</v>
      </c>
      <c r="J14" s="273"/>
      <c r="K14" s="274" t="str">
        <f>IF(K6="--","N/A",G24)</f>
        <v>N/A</v>
      </c>
      <c r="L14" s="272" t="str">
        <f>IF(K6="--","N/A",H24)</f>
        <v>N/A</v>
      </c>
      <c r="M14" s="439" t="str">
        <f>IF(K6="--","N/A",I24)</f>
        <v>N/A</v>
      </c>
      <c r="N14" s="273"/>
      <c r="O14" s="274" t="str">
        <f>IF(O6="--","N/A",K24)</f>
        <v>N/A</v>
      </c>
      <c r="P14" s="272" t="str">
        <f>IF(O6="--","N/A",L24)</f>
        <v>N/A</v>
      </c>
      <c r="Q14" s="439" t="str">
        <f>IF(O6="--","N/A",M24)</f>
        <v>N/A</v>
      </c>
      <c r="R14" s="273"/>
      <c r="S14" s="274" t="str">
        <f>IF(S6="--","N/A",O24)</f>
        <v>N/A</v>
      </c>
      <c r="T14" s="272" t="str">
        <f>IF(S6="--","N/A",P24)</f>
        <v>N/A</v>
      </c>
      <c r="U14" s="440" t="str">
        <f>IF(S6="--","N/A",Q24)</f>
        <v>N/A</v>
      </c>
      <c r="V14" s="139"/>
      <c r="W14" s="139"/>
      <c r="X14" s="139"/>
      <c r="Y14" s="139" t="s">
        <v>224</v>
      </c>
      <c r="Z14" s="139">
        <v>6</v>
      </c>
      <c r="AA14" s="247">
        <v>5.7</v>
      </c>
      <c r="AB14" s="247">
        <v>0.35</v>
      </c>
      <c r="AC14" s="296" t="s">
        <v>189</v>
      </c>
      <c r="AD14" s="270"/>
      <c r="AE14" s="42"/>
      <c r="AF14" s="42"/>
      <c r="AG14" s="42"/>
      <c r="AH14" s="42"/>
      <c r="AI14" s="42"/>
      <c r="AJ14" s="42"/>
      <c r="AM14" s="41"/>
      <c r="AN14" s="41"/>
      <c r="AO14" s="41"/>
      <c r="AP14" s="41"/>
    </row>
    <row r="15" spans="1:42" x14ac:dyDescent="0.25">
      <c r="A15" s="168" t="s">
        <v>322</v>
      </c>
      <c r="B15" s="275"/>
      <c r="C15" s="276" t="str">
        <f>IF(C6="--","N/A",B11*C14)</f>
        <v>N/A</v>
      </c>
      <c r="D15" s="276" t="str">
        <f>IF(C6="--","N/A",B11*D14)</f>
        <v>N/A</v>
      </c>
      <c r="E15" s="277" t="str">
        <f>IF(C6="--","N/A",B11*E14)</f>
        <v>N/A</v>
      </c>
      <c r="F15" s="149"/>
      <c r="G15" s="278" t="str">
        <f>IF(G6="--","N/A",B21*G14)</f>
        <v>N/A</v>
      </c>
      <c r="H15" s="278" t="str">
        <f>IF(G6="--","N/A",B21*H14)</f>
        <v>N/A</v>
      </c>
      <c r="I15" s="279" t="str">
        <f>IF(G6="--","N/A",B21*I14)</f>
        <v>N/A</v>
      </c>
      <c r="J15" s="280"/>
      <c r="K15" s="278" t="str">
        <f>IF(K6="--","N/A",F21*K14)</f>
        <v>N/A</v>
      </c>
      <c r="L15" s="278" t="str">
        <f>IF(K6="--","N/A",F21*L14)</f>
        <v>N/A</v>
      </c>
      <c r="M15" s="279" t="str">
        <f>IF(K6="--","N/A",F21*M14)</f>
        <v>N/A</v>
      </c>
      <c r="N15" s="280"/>
      <c r="O15" s="278" t="str">
        <f>IF(O6="--","N/A",J21*O14)</f>
        <v>N/A</v>
      </c>
      <c r="P15" s="278" t="str">
        <f>IF(O6="--","N/A",J21*P14)</f>
        <v>N/A</v>
      </c>
      <c r="Q15" s="279" t="str">
        <f>IF(O6="--","N/A",J21*Q14)</f>
        <v>N/A</v>
      </c>
      <c r="R15" s="280"/>
      <c r="S15" s="278" t="str">
        <f>IF(S6="--","N/A",N21*S14)</f>
        <v>N/A</v>
      </c>
      <c r="T15" s="278" t="str">
        <f>IF(S6="--","N/A",N21*T14)</f>
        <v>N/A</v>
      </c>
      <c r="U15" s="279" t="str">
        <f>IF(S6="--","N/A",N21*U14)</f>
        <v>N/A</v>
      </c>
      <c r="V15" s="139"/>
      <c r="W15" s="139"/>
      <c r="X15" s="139"/>
      <c r="Y15" s="139"/>
      <c r="Z15" s="139"/>
      <c r="AA15" s="247"/>
      <c r="AB15" s="247"/>
      <c r="AC15" s="296"/>
      <c r="AD15" s="270"/>
      <c r="AE15" s="42"/>
      <c r="AF15" s="42"/>
      <c r="AG15" s="42"/>
      <c r="AH15" s="42"/>
      <c r="AI15" s="42"/>
      <c r="AJ15" s="42"/>
      <c r="AM15" s="41"/>
      <c r="AN15" s="41"/>
      <c r="AO15" s="41"/>
      <c r="AP15" s="41"/>
    </row>
    <row r="16" spans="1:42" ht="15.75" thickBot="1" x14ac:dyDescent="0.3">
      <c r="A16" s="168" t="s">
        <v>497</v>
      </c>
      <c r="B16" s="281"/>
      <c r="C16" s="282" t="str">
        <f>IF(C6="--","N/A",C15*0.000002205/B8)</f>
        <v>N/A</v>
      </c>
      <c r="D16" s="282" t="str">
        <f>IF(C6="--","N/A",D15*0.000002205/B8)</f>
        <v>N/A</v>
      </c>
      <c r="E16" s="443" t="str">
        <f>IF(C6="--","N/A",E15*0.000002205/B8)</f>
        <v>N/A</v>
      </c>
      <c r="F16" s="267"/>
      <c r="G16" s="283" t="str">
        <f>IF($G$6="--","N/A",C25)</f>
        <v>N/A</v>
      </c>
      <c r="H16" s="283" t="str">
        <f>IF($G$6="--","N/A",D25)</f>
        <v>N/A</v>
      </c>
      <c r="I16" s="431" t="str">
        <f>IF($G$6="--","N/A",E25)</f>
        <v>N/A</v>
      </c>
      <c r="J16" s="284"/>
      <c r="K16" s="283" t="str">
        <f>IF(K6="--","N/A",G25)</f>
        <v>N/A</v>
      </c>
      <c r="L16" s="283" t="str">
        <f>IF(K6="--","N/A",H25)</f>
        <v>N/A</v>
      </c>
      <c r="M16" s="432" t="str">
        <f>IF(K6="--","N/A",I25)</f>
        <v>N/A</v>
      </c>
      <c r="N16" s="284"/>
      <c r="O16" s="283" t="str">
        <f>IF(O6="--","N/A",K25)</f>
        <v>N/A</v>
      </c>
      <c r="P16" s="283" t="str">
        <f>IF(O6="--","N/A",L25)</f>
        <v>N/A</v>
      </c>
      <c r="Q16" s="432" t="str">
        <f>IF(O6="--","N/A",M25)</f>
        <v>N/A</v>
      </c>
      <c r="R16" s="284"/>
      <c r="S16" s="283" t="str">
        <f>IF(S6="--","N/A",O25)</f>
        <v>N/A</v>
      </c>
      <c r="T16" s="283" t="str">
        <f>IF(S6="--","N/A",P25)</f>
        <v>N/A</v>
      </c>
      <c r="U16" s="432" t="str">
        <f>IF(S6="--","N/A",Q25)</f>
        <v>N/A</v>
      </c>
      <c r="V16" s="139"/>
      <c r="W16" s="139"/>
      <c r="X16" s="139" t="s">
        <v>225</v>
      </c>
      <c r="Y16" s="307" t="s">
        <v>248</v>
      </c>
      <c r="Z16" s="307">
        <v>7</v>
      </c>
      <c r="AA16" s="247"/>
      <c r="AB16" s="308"/>
      <c r="AC16" s="296"/>
      <c r="AD16" s="270"/>
      <c r="AE16" s="42"/>
      <c r="AF16" s="42"/>
      <c r="AG16" s="42"/>
      <c r="AH16" s="42"/>
      <c r="AI16" s="42"/>
      <c r="AJ16" s="42"/>
      <c r="AM16" s="41"/>
      <c r="AN16" s="41"/>
      <c r="AO16" s="41"/>
      <c r="AP16" s="41"/>
    </row>
    <row r="17" spans="1:42" ht="12" customHeight="1" x14ac:dyDescent="0.25">
      <c r="A17" s="168"/>
      <c r="B17" s="269"/>
      <c r="C17" s="269"/>
      <c r="D17" s="285"/>
      <c r="E17" s="285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139"/>
      <c r="W17" s="139"/>
      <c r="X17" s="139"/>
      <c r="Y17" s="139" t="s">
        <v>226</v>
      </c>
      <c r="Z17" s="139">
        <v>8</v>
      </c>
      <c r="AA17" s="247">
        <v>2.1</v>
      </c>
      <c r="AB17" s="247">
        <v>0.18</v>
      </c>
      <c r="AC17" s="296" t="s">
        <v>189</v>
      </c>
      <c r="AD17" s="270"/>
      <c r="AE17" s="42"/>
      <c r="AF17" s="42"/>
      <c r="AG17" s="42"/>
      <c r="AH17" s="42"/>
      <c r="AI17" s="42"/>
      <c r="AJ17" s="42"/>
      <c r="AM17" s="41"/>
      <c r="AN17" s="41"/>
      <c r="AO17" s="41"/>
      <c r="AP17" s="41"/>
    </row>
    <row r="18" spans="1:42" ht="15.75" thickBot="1" x14ac:dyDescent="0.3">
      <c r="A18" s="166" t="s">
        <v>475</v>
      </c>
      <c r="B18" s="269"/>
      <c r="C18" s="286"/>
      <c r="D18" s="286"/>
      <c r="E18" s="286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139"/>
      <c r="W18" s="139"/>
      <c r="X18" s="139"/>
      <c r="Y18" s="139"/>
      <c r="Z18" s="139"/>
      <c r="AA18" s="247"/>
      <c r="AB18" s="247"/>
      <c r="AC18" s="296"/>
      <c r="AD18" s="270"/>
      <c r="AE18" s="42"/>
      <c r="AF18" s="42"/>
      <c r="AG18" s="42"/>
      <c r="AH18" s="42"/>
      <c r="AI18" s="42"/>
      <c r="AJ18" s="42"/>
      <c r="AM18" s="41"/>
      <c r="AN18" s="41"/>
      <c r="AO18" s="41"/>
      <c r="AP18" s="41"/>
    </row>
    <row r="19" spans="1:42" x14ac:dyDescent="0.25">
      <c r="A19" s="168" t="s">
        <v>478</v>
      </c>
      <c r="B19" s="287" t="str">
        <f>IF(C6="--","N/A",(RPv!B24-RPv!B38)/RPv!B24)</f>
        <v>N/A</v>
      </c>
      <c r="C19" s="288"/>
      <c r="D19" s="289"/>
      <c r="E19" s="290"/>
      <c r="F19" s="287" t="str">
        <f>IF(G6="--","N/A",(RPv!D24-RPv!D38)/RPv!D24)</f>
        <v>N/A</v>
      </c>
      <c r="G19" s="288"/>
      <c r="H19" s="289"/>
      <c r="I19" s="290"/>
      <c r="J19" s="287" t="str">
        <f>IF(K6="--","N/A",(RPv!F24-RPv!F38)/RPv!F24)</f>
        <v>N/A</v>
      </c>
      <c r="K19" s="288"/>
      <c r="L19" s="289"/>
      <c r="M19" s="290"/>
      <c r="N19" s="287" t="str">
        <f>IF(O6="--","N/A",(RPv!H24-RPv!H38)/RPv!H24)</f>
        <v>N/A</v>
      </c>
      <c r="O19" s="288"/>
      <c r="P19" s="289"/>
      <c r="Q19" s="290"/>
      <c r="R19" s="287" t="str">
        <f>IF(S6="--","N/A",(RPv!J24-RPv!J38)/RPv!J24)</f>
        <v>N/A</v>
      </c>
      <c r="S19" s="288"/>
      <c r="T19" s="289"/>
      <c r="U19" s="290"/>
      <c r="V19" s="139"/>
      <c r="W19" s="139"/>
      <c r="X19" s="139"/>
      <c r="Y19" s="139" t="s">
        <v>227</v>
      </c>
      <c r="Z19" s="139">
        <v>9</v>
      </c>
      <c r="AA19" s="247">
        <v>6.9</v>
      </c>
      <c r="AB19" s="247">
        <v>0.21</v>
      </c>
      <c r="AC19" s="296" t="s">
        <v>189</v>
      </c>
      <c r="AD19" s="270"/>
      <c r="AE19" s="42"/>
      <c r="AF19" s="42"/>
      <c r="AG19" s="42"/>
      <c r="AH19" s="42"/>
      <c r="AI19" s="42"/>
      <c r="AJ19" s="42"/>
      <c r="AM19" s="41"/>
      <c r="AN19" s="41"/>
      <c r="AO19" s="41"/>
      <c r="AP19" s="41"/>
    </row>
    <row r="20" spans="1:42" x14ac:dyDescent="0.25">
      <c r="A20" s="168" t="s">
        <v>477</v>
      </c>
      <c r="B20" s="262" t="str">
        <f>RPv!B38</f>
        <v>N/A</v>
      </c>
      <c r="C20" s="258"/>
      <c r="D20" s="257"/>
      <c r="E20" s="291"/>
      <c r="F20" s="262" t="str">
        <f>RPv!D38</f>
        <v>N/A</v>
      </c>
      <c r="G20" s="258"/>
      <c r="H20" s="257"/>
      <c r="I20" s="291"/>
      <c r="J20" s="262" t="str">
        <f>RPv!F38</f>
        <v>N/A</v>
      </c>
      <c r="K20" s="258"/>
      <c r="L20" s="257"/>
      <c r="M20" s="291"/>
      <c r="N20" s="262" t="str">
        <f>RPv!H38</f>
        <v>N/A</v>
      </c>
      <c r="O20" s="258"/>
      <c r="P20" s="257"/>
      <c r="Q20" s="291"/>
      <c r="R20" s="262" t="str">
        <f>RPv!J38</f>
        <v>N/A</v>
      </c>
      <c r="S20" s="258"/>
      <c r="T20" s="257"/>
      <c r="U20" s="291"/>
      <c r="V20" s="139"/>
      <c r="W20" s="139"/>
      <c r="X20" s="139"/>
      <c r="Y20" s="139" t="s">
        <v>228</v>
      </c>
      <c r="Z20" s="139">
        <v>10</v>
      </c>
      <c r="AA20" s="247">
        <v>5.3</v>
      </c>
      <c r="AB20" s="247">
        <v>0.28000000000000003</v>
      </c>
      <c r="AC20" s="296" t="s">
        <v>189</v>
      </c>
      <c r="AD20" s="270"/>
      <c r="AE20" s="42"/>
      <c r="AF20" s="42"/>
      <c r="AG20" s="42"/>
      <c r="AH20" s="42"/>
      <c r="AI20" s="42"/>
      <c r="AJ20" s="42"/>
      <c r="AM20" s="41"/>
      <c r="AN20" s="41"/>
      <c r="AO20" s="41"/>
      <c r="AP20" s="41"/>
    </row>
    <row r="21" spans="1:42" x14ac:dyDescent="0.25">
      <c r="A21" s="168" t="s">
        <v>476</v>
      </c>
      <c r="B21" s="292" t="str">
        <f>IF(B19="N/A","N/A",$B$8*B20*102790)</f>
        <v>N/A</v>
      </c>
      <c r="C21" s="258"/>
      <c r="D21" s="257"/>
      <c r="E21" s="291"/>
      <c r="F21" s="292" t="str">
        <f>IF(F19="N/A","N/A",$B$8*F20*102790)</f>
        <v>N/A</v>
      </c>
      <c r="G21" s="258"/>
      <c r="H21" s="257"/>
      <c r="I21" s="291"/>
      <c r="J21" s="292" t="str">
        <f>IF(J19="N/A","N/A",$B$8*J20*102790)</f>
        <v>N/A</v>
      </c>
      <c r="K21" s="258"/>
      <c r="L21" s="257"/>
      <c r="M21" s="291"/>
      <c r="N21" s="292" t="str">
        <f>IF(N19="N/A","N/A",$B$8*N20*102790)</f>
        <v>N/A</v>
      </c>
      <c r="O21" s="258"/>
      <c r="P21" s="257"/>
      <c r="Q21" s="291"/>
      <c r="R21" s="292" t="str">
        <f>IF(R19="N/A","N/A",$B$8*R20*102790)</f>
        <v>N/A</v>
      </c>
      <c r="S21" s="258"/>
      <c r="T21" s="257"/>
      <c r="U21" s="291"/>
      <c r="V21" s="139"/>
      <c r="W21" s="139"/>
      <c r="X21" s="139"/>
      <c r="Y21" s="139" t="s">
        <v>325</v>
      </c>
      <c r="Z21" s="139">
        <v>11</v>
      </c>
      <c r="AA21" s="247"/>
      <c r="AB21" s="247"/>
      <c r="AC21" s="296" t="s">
        <v>189</v>
      </c>
      <c r="AD21" s="270"/>
      <c r="AE21" s="42"/>
      <c r="AF21" s="42"/>
      <c r="AG21" s="42"/>
      <c r="AH21" s="42"/>
      <c r="AI21" s="42"/>
      <c r="AJ21" s="42"/>
      <c r="AM21" s="41"/>
      <c r="AN21" s="41"/>
      <c r="AO21" s="41"/>
      <c r="AP21" s="41"/>
    </row>
    <row r="22" spans="1:42" x14ac:dyDescent="0.25">
      <c r="A22" s="168" t="s">
        <v>495</v>
      </c>
      <c r="B22" s="149"/>
      <c r="C22" s="295" t="str">
        <f>IF(B19="N/A","N/A",IF(B19=0,C16,C14*B21*0.000002205/$B$8))</f>
        <v>N/A</v>
      </c>
      <c r="D22" s="295" t="str">
        <f>IF(B19="N/A","N/A",IF(B19=0,D16,D14*B21*0.000002205/$B$8))</f>
        <v>N/A</v>
      </c>
      <c r="E22" s="336" t="str">
        <f>IF(B19="N/A","N/A",IF(B19=0,E16,E14*B21*0.000002205/$B$8))</f>
        <v>N/A</v>
      </c>
      <c r="F22" s="149"/>
      <c r="G22" s="295" t="str">
        <f>IF(F19="N/A","N/A",IF(F19=0,G16,G14*F21*0.000002205/$B$8))</f>
        <v>N/A</v>
      </c>
      <c r="H22" s="295" t="str">
        <f>IF(F19="N/A","N/A",IF(F19=0,H16,H14*F21*0.000002205/$B$8))</f>
        <v>N/A</v>
      </c>
      <c r="I22" s="336" t="str">
        <f>IF(F19="N/A","N/A",IF(F19=0,I16,I14*F21*0.000002205/$B$8))</f>
        <v>N/A</v>
      </c>
      <c r="J22" s="149"/>
      <c r="K22" s="295" t="str">
        <f>IF(J19="N/A","N/A",IF(J19=0,K16,K14*J21*0.000002205/$B$8))</f>
        <v>N/A</v>
      </c>
      <c r="L22" s="295" t="str">
        <f>IF(J19="N/A","N/A",IF(J19=0,L16,L14*J21*0.000002205/$B$8))</f>
        <v>N/A</v>
      </c>
      <c r="M22" s="336" t="str">
        <f>IF(J19="N/A","N/A",IF(J19=0,M16,M14*J21*0.000002205/$B$8))</f>
        <v>N/A</v>
      </c>
      <c r="N22" s="149"/>
      <c r="O22" s="295" t="str">
        <f>IF(N19="N/A","N/A",IF(N19=0,O16,O14*N21*0.000002205/$B$8))</f>
        <v>N/A</v>
      </c>
      <c r="P22" s="295" t="str">
        <f>IF(N19="N/A","N/A",IF(N19=0,P16,P14*N21*0.000002205/$B$8))</f>
        <v>N/A</v>
      </c>
      <c r="Q22" s="336" t="str">
        <f>IF(N19="N/A","N/A",IF(N19=0,Q16,Q14*N21*0.000002205/$B$8))</f>
        <v>N/A</v>
      </c>
      <c r="R22" s="149"/>
      <c r="S22" s="295" t="str">
        <f>IF(R19="N/A","N/A",IF(R19=0,S16,S14*R21*0.000002205/$B$8))</f>
        <v>N/A</v>
      </c>
      <c r="T22" s="295" t="str">
        <f>IF(R19="N/A","N/A",IF(R19=0,T16,T14*R21*0.000002205/$B$8))</f>
        <v>N/A</v>
      </c>
      <c r="U22" s="336" t="str">
        <f>IF(R19="N/A","N/A",IF(R19=0,U16,U14*R21*0.000002205/$B$8))</f>
        <v>N/A</v>
      </c>
      <c r="V22" s="139"/>
      <c r="W22" s="139"/>
      <c r="X22" s="139"/>
      <c r="Y22" s="139" t="s">
        <v>326</v>
      </c>
      <c r="Z22" s="139">
        <v>12</v>
      </c>
      <c r="AA22" s="247">
        <v>6.4</v>
      </c>
      <c r="AB22" s="247">
        <v>0.83</v>
      </c>
      <c r="AC22" s="296" t="s">
        <v>189</v>
      </c>
      <c r="AD22" s="270"/>
      <c r="AE22" s="42"/>
      <c r="AF22" s="42"/>
      <c r="AG22" s="42"/>
      <c r="AH22" s="42"/>
      <c r="AI22" s="42"/>
      <c r="AJ22" s="42"/>
      <c r="AM22" s="41"/>
      <c r="AN22" s="41"/>
      <c r="AO22" s="41"/>
      <c r="AP22" s="41"/>
    </row>
    <row r="23" spans="1:42" x14ac:dyDescent="0.25">
      <c r="A23" s="168" t="s">
        <v>496</v>
      </c>
      <c r="B23" s="149"/>
      <c r="C23" s="293" t="str">
        <f>IF(C6="--","N/A",IF(VLOOKUP(C6,'Data &amp; Documentation'!$C$2:$I$83,2,FALSE)=1,"N/A",VLOOKUP(C6,'Data &amp; Documentation'!$C$2:$I$83,2,FALSE)))</f>
        <v>N/A</v>
      </c>
      <c r="D23" s="293" t="str">
        <f>IF(C6="--","N/A",IF(VLOOKUP(C6,'Data &amp; Documentation'!$C$2:$I$83,4,FALSE)=1,"N/A",VLOOKUP(C6,'Data &amp; Documentation'!$C$2:$I$83,4,FALSE)))</f>
        <v>N/A</v>
      </c>
      <c r="E23" s="293" t="str">
        <f>IF(C6="--","N/A",IF(VLOOKUP(C6,'Data &amp; Documentation'!$C$2:$I$83,6,FALSE)=1,"N/A",VLOOKUP(C6,'Data &amp; Documentation'!$C$2:$I$83,6,FALSE)))</f>
        <v>N/A</v>
      </c>
      <c r="F23" s="149"/>
      <c r="G23" s="293" t="str">
        <f>IF(G6="--","N/A",IF(VLOOKUP(G6,'Data &amp; Documentation'!$C$2:$I$83,2,FALSE)=1,"N/A",VLOOKUP(G6,'Data &amp; Documentation'!$C$2:$I$83,2,FALSE)))</f>
        <v>N/A</v>
      </c>
      <c r="H23" s="293" t="str">
        <f>IF(G6="--","N/A",IF(VLOOKUP(G6,'Data &amp; Documentation'!$C$2:$I$83,4,FALSE)=1,"N/A",VLOOKUP(G6,'Data &amp; Documentation'!$C$2:$I$83,4,FALSE)))</f>
        <v>N/A</v>
      </c>
      <c r="I23" s="293" t="str">
        <f>IF(G6="--","N/A",IF(VLOOKUP(G6,'Data &amp; Documentation'!$C$2:$I$83,6,FALSE)=1,"N/A",VLOOKUP(G6,'Data &amp; Documentation'!$C$2:$I$83,6,FALSE)))</f>
        <v>N/A</v>
      </c>
      <c r="J23" s="149"/>
      <c r="K23" s="293" t="str">
        <f>IF(K6="--","N/A",IF(VLOOKUP(K6,'Data &amp; Documentation'!$C$2:$I$83,2,FALSE)=1,"N/A",VLOOKUP(K6,'Data &amp; Documentation'!$C$2:$I$83,2,FALSE)))</f>
        <v>N/A</v>
      </c>
      <c r="L23" s="293" t="str">
        <f>IF(K6="--","N/A",IF(VLOOKUP(K6,'Data &amp; Documentation'!$C$2:$I$83,4,FALSE)=1,"N/A",VLOOKUP(K6,'Data &amp; Documentation'!$C$2:$I$83,4,FALSE)))</f>
        <v>N/A</v>
      </c>
      <c r="M23" s="293" t="str">
        <f>IF(K6="--","N/A",IF(VLOOKUP(K6,'Data &amp; Documentation'!$C$2:$I$83,6,FALSE)=1,"N/A",VLOOKUP(K6,'Data &amp; Documentation'!$C$2:$I$83,6,FALSE)))</f>
        <v>N/A</v>
      </c>
      <c r="N23" s="149"/>
      <c r="O23" s="293" t="str">
        <f>IF(O6="--","N/A",IF(VLOOKUP(O6,'Data &amp; Documentation'!$C$2:$I$83,2,FALSE)=1,"N/A",VLOOKUP(O6,'Data &amp; Documentation'!$C$2:$I$83,2,FALSE)))</f>
        <v>N/A</v>
      </c>
      <c r="P23" s="293" t="str">
        <f>IF(O6="--","N/A",IF(VLOOKUP(O6,'Data &amp; Documentation'!$C$2:$I$83,4,FALSE)=1,"N/A",VLOOKUP(O6,'Data &amp; Documentation'!$C$2:$I$83,4,FALSE)))</f>
        <v>N/A</v>
      </c>
      <c r="Q23" s="293" t="str">
        <f>IF(O6="--","N/A",IF(VLOOKUP(O6,'Data &amp; Documentation'!$C$2:$I$83,6,FALSE)=1,"N/A",VLOOKUP(O6,'Data &amp; Documentation'!$C$2:$I$83,6,FALSE)))</f>
        <v>N/A</v>
      </c>
      <c r="R23" s="149"/>
      <c r="S23" s="293" t="str">
        <f>IF(S6="--","N/A",IF(VLOOKUP(S6,'Data &amp; Documentation'!$C$2:$I$83,2,FALSE)=1,"N/A",VLOOKUP(S6,'Data &amp; Documentation'!$C$2:$I$83,2,FALSE)))</f>
        <v>N/A</v>
      </c>
      <c r="T23" s="293" t="str">
        <f>IF(S6="--","N/A",IF(VLOOKUP(S6,'Data &amp; Documentation'!$C$2:$I$83,4,FALSE)=1,"N/A",VLOOKUP(S6,'Data &amp; Documentation'!$C$2:$I$83,4,FALSE)))</f>
        <v>N/A</v>
      </c>
      <c r="U23" s="294" t="str">
        <f>IF(S6="--","N/A",IF(VLOOKUP(S6,'Data &amp; Documentation'!$C$2:$I$83,6,FALSE)=1,"N/A",VLOOKUP(S6,'Data &amp; Documentation'!$C$2:$I$83,6,FALSE)))</f>
        <v>N/A</v>
      </c>
      <c r="V23" s="139"/>
      <c r="W23" s="139"/>
      <c r="X23" s="139"/>
      <c r="Y23" s="139" t="s">
        <v>327</v>
      </c>
      <c r="Z23" s="139">
        <v>13</v>
      </c>
      <c r="AA23" s="247">
        <v>3.2</v>
      </c>
      <c r="AB23" s="247">
        <v>0.36</v>
      </c>
      <c r="AC23" s="296" t="s">
        <v>189</v>
      </c>
      <c r="AD23" s="270"/>
      <c r="AE23" s="42"/>
      <c r="AF23" s="42"/>
      <c r="AG23" s="42"/>
      <c r="AH23" s="42"/>
      <c r="AI23" s="42"/>
      <c r="AJ23" s="42"/>
      <c r="AM23" s="41"/>
      <c r="AN23" s="41"/>
      <c r="AO23" s="41"/>
      <c r="AP23" s="41"/>
    </row>
    <row r="24" spans="1:42" x14ac:dyDescent="0.25">
      <c r="A24" s="168" t="s">
        <v>607</v>
      </c>
      <c r="B24" s="149"/>
      <c r="C24" s="295" t="str">
        <f>IF(C23="N/A",C14,C14*(1-C23))</f>
        <v>N/A</v>
      </c>
      <c r="D24" s="295" t="str">
        <f t="shared" ref="D24:E24" si="0">IF(D23="N/A",D14,D14*(1-D23))</f>
        <v>N/A</v>
      </c>
      <c r="E24" s="295" t="str">
        <f t="shared" si="0"/>
        <v>N/A</v>
      </c>
      <c r="F24" s="149"/>
      <c r="G24" s="295" t="str">
        <f>IF(G23="N/A",G14,G14*(1-G23))</f>
        <v>N/A</v>
      </c>
      <c r="H24" s="295" t="str">
        <f t="shared" ref="H24" si="1">IF(H23="N/A",H14,H14*(1-H23))</f>
        <v>N/A</v>
      </c>
      <c r="I24" s="295" t="str">
        <f t="shared" ref="I24" si="2">IF(I23="N/A",I14,I14*(1-I23))</f>
        <v>N/A</v>
      </c>
      <c r="J24" s="149"/>
      <c r="K24" s="295" t="str">
        <f>IF(K23="N/A",K14,K14*(1-K23))</f>
        <v>N/A</v>
      </c>
      <c r="L24" s="295" t="str">
        <f t="shared" ref="L24" si="3">IF(L23="N/A",L14,L14*(1-L23))</f>
        <v>N/A</v>
      </c>
      <c r="M24" s="295" t="str">
        <f t="shared" ref="M24" si="4">IF(M23="N/A",M14,M14*(1-M23))</f>
        <v>N/A</v>
      </c>
      <c r="N24" s="149"/>
      <c r="O24" s="295" t="str">
        <f>IF(O23="N/A",O14,O14*(1-O23))</f>
        <v>N/A</v>
      </c>
      <c r="P24" s="295" t="str">
        <f t="shared" ref="P24" si="5">IF(P23="N/A",P14,P14*(1-P23))</f>
        <v>N/A</v>
      </c>
      <c r="Q24" s="295" t="str">
        <f t="shared" ref="Q24" si="6">IF(Q23="N/A",Q14,Q14*(1-Q23))</f>
        <v>N/A</v>
      </c>
      <c r="R24" s="149"/>
      <c r="S24" s="295" t="str">
        <f>IF(S23="N/A",S14,S14*(1-S23))</f>
        <v>N/A</v>
      </c>
      <c r="T24" s="295" t="str">
        <f t="shared" ref="T24" si="7">IF(T23="N/A",T14,T14*(1-T23))</f>
        <v>N/A</v>
      </c>
      <c r="U24" s="336" t="str">
        <f t="shared" ref="U24" si="8">IF(U23="N/A",U14,U14*(1-U23))</f>
        <v>N/A</v>
      </c>
      <c r="V24" s="139"/>
      <c r="W24" s="139"/>
      <c r="X24" s="139"/>
      <c r="Y24" s="307" t="s">
        <v>225</v>
      </c>
      <c r="Z24" s="307">
        <v>14</v>
      </c>
      <c r="AA24" s="308"/>
      <c r="AB24" s="308"/>
      <c r="AC24" s="296"/>
      <c r="AD24" s="270"/>
      <c r="AE24" s="42"/>
      <c r="AF24" s="42"/>
      <c r="AG24" s="42"/>
      <c r="AH24" s="42"/>
      <c r="AI24" s="42"/>
      <c r="AJ24" s="42"/>
      <c r="AM24" s="41"/>
      <c r="AN24" s="41"/>
      <c r="AO24" s="41"/>
      <c r="AP24" s="41"/>
    </row>
    <row r="25" spans="1:42" ht="15.75" thickBot="1" x14ac:dyDescent="0.3">
      <c r="A25" s="168" t="s">
        <v>608</v>
      </c>
      <c r="B25" s="281"/>
      <c r="C25" s="283" t="str">
        <f>IF(C23="N/A",C22,C22*(1-C23))</f>
        <v>N/A</v>
      </c>
      <c r="D25" s="283" t="str">
        <f t="shared" ref="D25:E25" si="9">IF(D23="N/A",D22,D22*(1-D23))</f>
        <v>N/A</v>
      </c>
      <c r="E25" s="431" t="str">
        <f t="shared" si="9"/>
        <v>N/A</v>
      </c>
      <c r="F25" s="281"/>
      <c r="G25" s="283" t="str">
        <f>IF(G23="N/A",G22,G22*(1-G23))</f>
        <v>N/A</v>
      </c>
      <c r="H25" s="283" t="str">
        <f t="shared" ref="H25:I25" si="10">IF(H23="N/A",H22,H22*(1-H23))</f>
        <v>N/A</v>
      </c>
      <c r="I25" s="431" t="str">
        <f t="shared" si="10"/>
        <v>N/A</v>
      </c>
      <c r="J25" s="281"/>
      <c r="K25" s="283" t="str">
        <f>IF(K23="N/A",K22,K22*(1-K23))</f>
        <v>N/A</v>
      </c>
      <c r="L25" s="283" t="str">
        <f t="shared" ref="L25:M25" si="11">IF(L23="N/A",L22,L22*(1-L23))</f>
        <v>N/A</v>
      </c>
      <c r="M25" s="431" t="str">
        <f t="shared" si="11"/>
        <v>N/A</v>
      </c>
      <c r="N25" s="281"/>
      <c r="O25" s="283" t="str">
        <f>IF(O23="N/A",O22,O22*(1-O23))</f>
        <v>N/A</v>
      </c>
      <c r="P25" s="283" t="str">
        <f t="shared" ref="P25:Q25" si="12">IF(P23="N/A",P22,P22*(1-P23))</f>
        <v>N/A</v>
      </c>
      <c r="Q25" s="431" t="str">
        <f t="shared" si="12"/>
        <v>N/A</v>
      </c>
      <c r="R25" s="281"/>
      <c r="S25" s="283" t="str">
        <f>IF(S23="N/A",S22,S22*(1-S23))</f>
        <v>N/A</v>
      </c>
      <c r="T25" s="283" t="str">
        <f t="shared" ref="T25:U25" si="13">IF(T23="N/A",T22,T22*(1-T23))</f>
        <v>N/A</v>
      </c>
      <c r="U25" s="432" t="str">
        <f t="shared" si="13"/>
        <v>N/A</v>
      </c>
      <c r="V25" s="139"/>
      <c r="W25" s="139"/>
      <c r="X25" s="139"/>
      <c r="Y25" s="139" t="s">
        <v>229</v>
      </c>
      <c r="Z25" s="139">
        <v>15</v>
      </c>
      <c r="AA25" s="247">
        <v>6.6</v>
      </c>
      <c r="AB25" s="247">
        <v>0.51</v>
      </c>
      <c r="AC25" s="296" t="s">
        <v>189</v>
      </c>
      <c r="AD25" s="270"/>
      <c r="AE25" s="42"/>
      <c r="AF25" s="42"/>
      <c r="AG25" s="42"/>
      <c r="AH25" s="42"/>
      <c r="AI25" s="42"/>
      <c r="AJ25" s="42"/>
      <c r="AM25" s="41"/>
      <c r="AN25" s="41"/>
      <c r="AO25" s="41"/>
      <c r="AP25" s="41"/>
    </row>
    <row r="26" spans="1:42" x14ac:dyDescent="0.25">
      <c r="A26" s="168"/>
      <c r="B26" s="269"/>
      <c r="C26" s="269"/>
      <c r="D26" s="285"/>
      <c r="E26" s="285"/>
      <c r="F26" s="269"/>
      <c r="G26" s="269"/>
      <c r="H26" s="285"/>
      <c r="I26" s="285"/>
      <c r="J26" s="269"/>
      <c r="K26" s="269"/>
      <c r="L26" s="285"/>
      <c r="M26" s="285"/>
      <c r="N26" s="269"/>
      <c r="O26" s="269"/>
      <c r="P26" s="285"/>
      <c r="Q26" s="285"/>
      <c r="R26" s="269"/>
      <c r="S26" s="269"/>
      <c r="T26" s="285"/>
      <c r="U26" s="285"/>
      <c r="V26" s="139"/>
      <c r="W26" s="139"/>
      <c r="X26" s="139"/>
      <c r="Y26" s="139" t="s">
        <v>230</v>
      </c>
      <c r="Z26" s="139">
        <v>16</v>
      </c>
      <c r="AA26" s="316">
        <v>6.6</v>
      </c>
      <c r="AB26" s="247">
        <v>0.73</v>
      </c>
      <c r="AC26" s="296" t="s">
        <v>189</v>
      </c>
      <c r="AD26" s="270"/>
      <c r="AE26" s="42"/>
      <c r="AF26" s="42"/>
      <c r="AG26" s="42"/>
      <c r="AH26" s="42"/>
      <c r="AI26" s="42"/>
      <c r="AJ26" s="42"/>
      <c r="AM26" s="41"/>
      <c r="AN26" s="41"/>
      <c r="AO26" s="41"/>
      <c r="AP26" s="41"/>
    </row>
    <row r="27" spans="1:42" ht="15" customHeight="1" thickBot="1" x14ac:dyDescent="0.3">
      <c r="A27" s="166" t="s">
        <v>498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139"/>
      <c r="W27" s="139"/>
      <c r="X27" s="139"/>
      <c r="Y27" s="139" t="s">
        <v>231</v>
      </c>
      <c r="Z27" s="139">
        <v>17</v>
      </c>
      <c r="AA27" s="316">
        <v>4.7</v>
      </c>
      <c r="AB27" s="247">
        <v>0.51</v>
      </c>
      <c r="AC27" s="296" t="s">
        <v>189</v>
      </c>
      <c r="AD27" s="270"/>
      <c r="AE27" s="42"/>
      <c r="AF27" s="42"/>
      <c r="AG27" s="42"/>
      <c r="AH27" s="42"/>
      <c r="AI27" s="42"/>
      <c r="AJ27" s="42"/>
      <c r="AM27" s="41"/>
      <c r="AN27" s="41"/>
      <c r="AO27" s="41"/>
      <c r="AP27" s="41"/>
    </row>
    <row r="28" spans="1:42" x14ac:dyDescent="0.25">
      <c r="A28" s="168" t="s">
        <v>323</v>
      </c>
      <c r="B28" s="273"/>
      <c r="C28" s="297" t="e">
        <f>VLOOKUP(B3,Y7:AC61,3,FALSE)</f>
        <v>#N/A</v>
      </c>
      <c r="D28" s="297" t="e">
        <f>VLOOKUP(B3,Y7:AC61,4,FALSE)</f>
        <v>#N/A</v>
      </c>
      <c r="E28" s="298" t="e">
        <f>VLOOKUP(B3,Y7:AC61,5,FALSE)</f>
        <v>#N/A</v>
      </c>
      <c r="F28" s="273"/>
      <c r="G28" s="299"/>
      <c r="H28" s="300"/>
      <c r="I28" s="300"/>
      <c r="J28" s="273"/>
      <c r="K28" s="299"/>
      <c r="L28" s="300"/>
      <c r="M28" s="300"/>
      <c r="N28" s="273"/>
      <c r="O28" s="299"/>
      <c r="P28" s="300"/>
      <c r="Q28" s="300"/>
      <c r="R28" s="273"/>
      <c r="S28" s="299"/>
      <c r="T28" s="300"/>
      <c r="U28" s="301"/>
      <c r="V28" s="139"/>
      <c r="W28" s="139"/>
      <c r="X28" s="139"/>
      <c r="Y28" s="139" t="s">
        <v>232</v>
      </c>
      <c r="Z28" s="139">
        <v>18</v>
      </c>
      <c r="AA28" s="316">
        <v>5.5</v>
      </c>
      <c r="AB28" s="247">
        <v>0.39</v>
      </c>
      <c r="AC28" s="296" t="s">
        <v>189</v>
      </c>
      <c r="AD28" s="270"/>
      <c r="AE28" s="42"/>
      <c r="AF28" s="42"/>
      <c r="AG28" s="42"/>
      <c r="AH28" s="42"/>
      <c r="AI28" s="42"/>
      <c r="AJ28" s="42"/>
      <c r="AM28" s="41"/>
      <c r="AN28" s="41"/>
      <c r="AO28" s="41"/>
      <c r="AP28" s="41"/>
    </row>
    <row r="29" spans="1:42" x14ac:dyDescent="0.25">
      <c r="A29" s="168" t="s">
        <v>283</v>
      </c>
      <c r="B29" s="149"/>
      <c r="C29" s="363" t="str">
        <f>IF(C6="--","N/A",IF($C$28&gt;=C16,"YES",IF(C25&lt;=$C$28,"YES","NO")))</f>
        <v>N/A</v>
      </c>
      <c r="D29" s="363" t="str">
        <f>IF(C6="--","N/A",IF($D$28&gt;=D16,"YES",IF(D25&lt;=$D$28,"YES","NO")))</f>
        <v>N/A</v>
      </c>
      <c r="E29" s="363" t="str">
        <f>IF(C6="--","N/A",IF($E$28="N/A","N/A",IF($E$28&gt;=E16,"YES",IF(E25&lt;=$E$28,"YES","NO"))))</f>
        <v>N/A</v>
      </c>
      <c r="F29" s="149"/>
      <c r="G29" s="363" t="str">
        <f>IF(G6="--","N/A",IF($C$28&gt;=G16,"YES",IF(G25&lt;=$C$28,"YES","NO")))</f>
        <v>N/A</v>
      </c>
      <c r="H29" s="363" t="str">
        <f>IF(G6="--","N/A",IF($D$28&gt;=H16,"YES",IF(H25&lt;=$D$28,"YES","NO")))</f>
        <v>N/A</v>
      </c>
      <c r="I29" s="363" t="str">
        <f>IF(G6="--","N/A",IF($E$28="N/A","N/A",IF($E$28&gt;=I16,"YES",IF(I25&lt;=$E$28,"YES","NO"))))</f>
        <v>N/A</v>
      </c>
      <c r="J29" s="149"/>
      <c r="K29" s="363" t="str">
        <f>IF(K6="--","N/A",IF($C$28&gt;=K16,"YES",IF(K25&lt;=$C$28,"YES","NO")))</f>
        <v>N/A</v>
      </c>
      <c r="L29" s="363" t="str">
        <f>IF(K6="--","N/A",IF($D$28&gt;=L16,"YES",IF(L25&lt;=$D$28,"YES","NO")))</f>
        <v>N/A</v>
      </c>
      <c r="M29" s="363" t="str">
        <f>IF(K6="--","N/A",IF($E$28="N/A","N/A",IF($E$28&gt;=M16,"YES",IF(M25&lt;=$E$28,"YES","NO"))))</f>
        <v>N/A</v>
      </c>
      <c r="N29" s="149"/>
      <c r="O29" s="363" t="str">
        <f>IF(O6="--","N/A",IF($C$28&gt;=O16,"YES",IF(O25&lt;=$C$28,"YES","NO")))</f>
        <v>N/A</v>
      </c>
      <c r="P29" s="363" t="str">
        <f>IF(O6="--","N/A",IF($D$28&gt;=P16,"YES",IF(P25&lt;=$D$28,"YES","NO")))</f>
        <v>N/A</v>
      </c>
      <c r="Q29" s="363" t="str">
        <f>IF(O6="--","N/A",IF($E$28="N/A","N/A",IF($E$28&gt;=Q16,"YES",IF(Q25&lt;=$E$28,"YES","NO"))))</f>
        <v>N/A</v>
      </c>
      <c r="R29" s="149"/>
      <c r="S29" s="363" t="str">
        <f>IF(S6="--","N/A",IF($C$28&gt;=S16,"YES",IF(S25&lt;=$C$28,"YES","NO")))</f>
        <v>N/A</v>
      </c>
      <c r="T29" s="363" t="str">
        <f>IF(S6="--","N/A",IF($D$28&gt;=T16,"YES",IF(T25&lt;=$D$28,"YES","NO")))</f>
        <v>N/A</v>
      </c>
      <c r="U29" s="364" t="str">
        <f>IF(S6="--","N/A",IF($E$28="N/A","N/A",IF($E$28&gt;=U16,"YES",IF(U25&lt;=$E$28,"YES","NO"))))</f>
        <v>N/A</v>
      </c>
      <c r="V29" s="139"/>
      <c r="W29" s="139"/>
      <c r="X29" s="139"/>
      <c r="Y29" s="139" t="s">
        <v>328</v>
      </c>
      <c r="Z29" s="139">
        <v>19</v>
      </c>
      <c r="AA29" s="316">
        <v>3</v>
      </c>
      <c r="AB29" s="247">
        <v>0.51</v>
      </c>
      <c r="AC29" s="296" t="s">
        <v>189</v>
      </c>
      <c r="AD29" s="270"/>
      <c r="AE29" s="42"/>
      <c r="AF29" s="42"/>
      <c r="AG29" s="42"/>
      <c r="AH29" s="42"/>
      <c r="AI29" s="42"/>
      <c r="AJ29" s="42"/>
      <c r="AM29" s="41"/>
      <c r="AN29" s="41"/>
      <c r="AO29" s="41"/>
      <c r="AP29" s="41"/>
    </row>
    <row r="30" spans="1:42" ht="15.75" thickBot="1" x14ac:dyDescent="0.3">
      <c r="A30" s="168" t="s">
        <v>604</v>
      </c>
      <c r="B30" s="267"/>
      <c r="C30" s="283" t="str">
        <f>IF(C6="--","N/A",C25*$B$8)</f>
        <v>N/A</v>
      </c>
      <c r="D30" s="283" t="str">
        <f>IF(C6="--","N/A",D25*$B$8)</f>
        <v>N/A</v>
      </c>
      <c r="E30" s="431" t="str">
        <f>IF(C6="--","N/A",E25*$B$8)</f>
        <v>N/A</v>
      </c>
      <c r="F30" s="267"/>
      <c r="G30" s="283" t="str">
        <f>IF(G6="--","N/A",G25*$B$8)</f>
        <v>N/A</v>
      </c>
      <c r="H30" s="283" t="str">
        <f>IF(G6="--","N/A",H25*$B$8)</f>
        <v>N/A</v>
      </c>
      <c r="I30" s="431" t="str">
        <f>IF(G6="--","N/A",I25*$B$8)</f>
        <v>N/A</v>
      </c>
      <c r="J30" s="267"/>
      <c r="K30" s="283" t="str">
        <f>IF(K6="--","N/A",K25*$B$8)</f>
        <v>N/A</v>
      </c>
      <c r="L30" s="283" t="str">
        <f>IF(K6="--","N/A",L25*$B$8)</f>
        <v>N/A</v>
      </c>
      <c r="M30" s="431" t="str">
        <f>IF(K6="--","N/A",M25*$B$8)</f>
        <v>N/A</v>
      </c>
      <c r="N30" s="267"/>
      <c r="O30" s="283" t="str">
        <f>IF(O6="--","N/A",O25*$B$8)</f>
        <v>N/A</v>
      </c>
      <c r="P30" s="283" t="str">
        <f>IF(O6="--","N/A",P25*$B$8)</f>
        <v>N/A</v>
      </c>
      <c r="Q30" s="431" t="str">
        <f>IF(O6="--","N/A",Q25*$B$8)</f>
        <v>N/A</v>
      </c>
      <c r="R30" s="267"/>
      <c r="S30" s="283" t="str">
        <f>IF(S6="--","N/A",S25*$B$8)</f>
        <v>N/A</v>
      </c>
      <c r="T30" s="283" t="str">
        <f>IF(S6="--","N/A",T25*$B$8)</f>
        <v>N/A</v>
      </c>
      <c r="U30" s="432" t="str">
        <f>IF(S6="--","N/A",U25*$B$8)</f>
        <v>N/A</v>
      </c>
      <c r="V30" s="139"/>
      <c r="W30" s="139"/>
      <c r="X30" s="139"/>
      <c r="Y30" s="139" t="s">
        <v>258</v>
      </c>
      <c r="Z30" s="139">
        <v>20</v>
      </c>
      <c r="AA30" s="316">
        <v>5.7</v>
      </c>
      <c r="AB30" s="247">
        <v>0.1</v>
      </c>
      <c r="AC30" s="296" t="s">
        <v>189</v>
      </c>
      <c r="AD30" s="270"/>
      <c r="AE30" s="42"/>
      <c r="AF30" s="42"/>
      <c r="AG30" s="42"/>
      <c r="AH30" s="42"/>
      <c r="AI30" s="42"/>
      <c r="AJ30" s="42"/>
      <c r="AM30" s="41"/>
      <c r="AN30" s="41"/>
      <c r="AO30" s="41"/>
      <c r="AP30" s="41"/>
    </row>
    <row r="31" spans="1:42" s="349" customFormat="1" x14ac:dyDescent="0.25">
      <c r="A31" s="16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9"/>
      <c r="W31" s="139"/>
      <c r="X31" s="139"/>
      <c r="Y31" s="139" t="s">
        <v>259</v>
      </c>
      <c r="Z31" s="139">
        <v>20</v>
      </c>
      <c r="AA31" s="316">
        <v>5.7</v>
      </c>
      <c r="AB31" s="247">
        <v>0.1</v>
      </c>
      <c r="AC31" s="296" t="s">
        <v>189</v>
      </c>
      <c r="AD31" s="270"/>
      <c r="AE31" s="42"/>
      <c r="AF31" s="42"/>
      <c r="AG31" s="42"/>
      <c r="AH31" s="42"/>
      <c r="AI31" s="42"/>
      <c r="AJ31" s="42"/>
      <c r="AK31" s="41"/>
      <c r="AL31" s="41"/>
      <c r="AM31" s="41"/>
      <c r="AN31" s="41"/>
      <c r="AO31" s="41"/>
      <c r="AP31" s="41"/>
    </row>
    <row r="32" spans="1:42" ht="12" customHeight="1" x14ac:dyDescent="0.25">
      <c r="A32" s="166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9"/>
      <c r="W32" s="139"/>
      <c r="X32" s="139"/>
      <c r="Y32" s="139" t="s">
        <v>233</v>
      </c>
      <c r="Z32" s="139">
        <v>21</v>
      </c>
      <c r="AA32" s="316">
        <v>6.4</v>
      </c>
      <c r="AB32" s="247">
        <v>0.25</v>
      </c>
      <c r="AC32" s="296" t="s">
        <v>189</v>
      </c>
      <c r="AD32" s="270"/>
      <c r="AE32" s="42"/>
      <c r="AF32" s="42"/>
      <c r="AG32" s="42"/>
      <c r="AH32" s="42"/>
      <c r="AI32" s="42"/>
      <c r="AJ32" s="42"/>
      <c r="AM32" s="41"/>
      <c r="AN32" s="41"/>
      <c r="AO32" s="41"/>
      <c r="AP32" s="41"/>
    </row>
    <row r="33" spans="1:42" hidden="1" x14ac:dyDescent="0.25">
      <c r="A33" s="168" t="s">
        <v>284</v>
      </c>
      <c r="B33" s="302"/>
      <c r="C33" s="132" t="e">
        <f>IF(C25-C28&lt;=0,0,C25-C28)</f>
        <v>#VALUE!</v>
      </c>
      <c r="D33" s="132" t="e">
        <f>IF(D25-D28&lt;=0,0,D25-D28)</f>
        <v>#VALUE!</v>
      </c>
      <c r="E33" s="303" t="e">
        <f>IF(E28="N/A",0,IF(E25-E28&lt;=0,0,E25-E28))</f>
        <v>#N/A</v>
      </c>
      <c r="F33" s="302"/>
      <c r="G33" s="132" t="e">
        <f>IF(G25-G28&lt;=0,0,G25-G28)</f>
        <v>#VALUE!</v>
      </c>
      <c r="H33" s="132" t="e">
        <f>IF(H25-H28&lt;=0,0,H25-H28)</f>
        <v>#VALUE!</v>
      </c>
      <c r="I33" s="303" t="e">
        <f>IF(I28="N/A",0,IF(I25-I28&lt;=0,0,I25-I28))</f>
        <v>#VALUE!</v>
      </c>
      <c r="J33" s="302"/>
      <c r="K33" s="132" t="e">
        <f>IF(K25-K28&lt;=0,0,K25-K28)</f>
        <v>#VALUE!</v>
      </c>
      <c r="L33" s="132" t="e">
        <f>IF(L25-L28&lt;=0,0,L25-L28)</f>
        <v>#VALUE!</v>
      </c>
      <c r="M33" s="303" t="e">
        <f>IF(M28="N/A",0,IF(M25-M28&lt;=0,0,M25-M28))</f>
        <v>#VALUE!</v>
      </c>
      <c r="N33" s="302"/>
      <c r="O33" s="132" t="e">
        <f>IF(O25-O28&lt;=0,0,O25-O28)</f>
        <v>#VALUE!</v>
      </c>
      <c r="P33" s="132" t="e">
        <f>IF(P25-P28&lt;=0,0,P25-P28)</f>
        <v>#VALUE!</v>
      </c>
      <c r="Q33" s="303" t="e">
        <f>IF(Q28="N/A",0,IF(Q25-Q28&lt;=0,0,Q25-Q28))</f>
        <v>#VALUE!</v>
      </c>
      <c r="R33" s="302"/>
      <c r="S33" s="132" t="e">
        <f>IF(S25-S28&lt;=0,0,S25-S28)</f>
        <v>#VALUE!</v>
      </c>
      <c r="T33" s="132" t="e">
        <f>IF(T25-T28&lt;=0,0,T25-T28)</f>
        <v>#VALUE!</v>
      </c>
      <c r="U33" s="303" t="e">
        <f>IF(U28="N/A",0,IF(U25-U28&lt;=0,0,U25-U28))</f>
        <v>#VALUE!</v>
      </c>
      <c r="V33" s="139"/>
      <c r="W33" s="139"/>
      <c r="X33" s="139"/>
      <c r="Y33" s="139" t="s">
        <v>234</v>
      </c>
      <c r="Z33" s="139">
        <v>22</v>
      </c>
      <c r="AA33" s="316">
        <v>11.9</v>
      </c>
      <c r="AB33" s="247">
        <v>0.5</v>
      </c>
      <c r="AC33" s="296" t="s">
        <v>189</v>
      </c>
      <c r="AD33" s="270"/>
      <c r="AE33" s="42"/>
      <c r="AF33" s="42"/>
      <c r="AG33" s="42"/>
      <c r="AH33" s="42"/>
      <c r="AI33" s="42"/>
      <c r="AJ33" s="42"/>
      <c r="AM33" s="41"/>
      <c r="AN33" s="41"/>
      <c r="AO33" s="41"/>
      <c r="AP33" s="41"/>
    </row>
    <row r="34" spans="1:42" hidden="1" x14ac:dyDescent="0.25">
      <c r="A34" s="168" t="s">
        <v>285</v>
      </c>
      <c r="B34" s="304"/>
      <c r="C34" s="305" t="e">
        <f>C33/C25</f>
        <v>#VALUE!</v>
      </c>
      <c r="D34" s="305" t="e">
        <f>D33/D25</f>
        <v>#VALUE!</v>
      </c>
      <c r="E34" s="305" t="e">
        <f>E33/E25</f>
        <v>#N/A</v>
      </c>
      <c r="F34" s="304"/>
      <c r="G34" s="305" t="e">
        <f>G33/G25</f>
        <v>#VALUE!</v>
      </c>
      <c r="H34" s="305" t="e">
        <f>H33/H25</f>
        <v>#VALUE!</v>
      </c>
      <c r="I34" s="305" t="e">
        <f>I33/I25</f>
        <v>#VALUE!</v>
      </c>
      <c r="J34" s="304"/>
      <c r="K34" s="305" t="e">
        <f>K33/K25</f>
        <v>#VALUE!</v>
      </c>
      <c r="L34" s="305" t="e">
        <f>L33/L25</f>
        <v>#VALUE!</v>
      </c>
      <c r="M34" s="305" t="e">
        <f>M33/M25</f>
        <v>#VALUE!</v>
      </c>
      <c r="N34" s="304"/>
      <c r="O34" s="305" t="e">
        <f>O33/O25</f>
        <v>#VALUE!</v>
      </c>
      <c r="P34" s="305" t="e">
        <f>P33/P25</f>
        <v>#VALUE!</v>
      </c>
      <c r="Q34" s="305" t="e">
        <f>Q33/Q25</f>
        <v>#VALUE!</v>
      </c>
      <c r="R34" s="304"/>
      <c r="S34" s="305" t="e">
        <f>S33/S25</f>
        <v>#VALUE!</v>
      </c>
      <c r="T34" s="305" t="e">
        <f>T33/T25</f>
        <v>#VALUE!</v>
      </c>
      <c r="U34" s="306" t="e">
        <f>U33/U25</f>
        <v>#VALUE!</v>
      </c>
      <c r="V34" s="139"/>
      <c r="W34" s="139"/>
      <c r="X34" s="139"/>
      <c r="Y34" s="139"/>
      <c r="Z34" s="139"/>
      <c r="AA34" s="316"/>
      <c r="AB34" s="247"/>
      <c r="AC34" s="296"/>
      <c r="AD34" s="270"/>
      <c r="AE34" s="42"/>
      <c r="AF34" s="42"/>
      <c r="AG34" s="42"/>
      <c r="AH34" s="42"/>
      <c r="AI34" s="42"/>
      <c r="AJ34" s="42"/>
      <c r="AM34" s="41"/>
      <c r="AN34" s="41"/>
      <c r="AO34" s="41"/>
      <c r="AP34" s="41"/>
    </row>
    <row r="35" spans="1:42" hidden="1" x14ac:dyDescent="0.25">
      <c r="A35" s="168" t="s">
        <v>286</v>
      </c>
      <c r="B35" s="304"/>
      <c r="C35" s="135" t="str">
        <f>RPv!B33</f>
        <v>N/A</v>
      </c>
      <c r="D35" s="135" t="str">
        <f>RPv!B33</f>
        <v>N/A</v>
      </c>
      <c r="E35" s="135" t="str">
        <f>RPv!B33</f>
        <v>N/A</v>
      </c>
      <c r="F35" s="304"/>
      <c r="G35" s="135" t="str">
        <f>RPv!D33</f>
        <v>N/A</v>
      </c>
      <c r="H35" s="135" t="str">
        <f>RPv!D33</f>
        <v>N/A</v>
      </c>
      <c r="I35" s="135" t="str">
        <f>RPv!D33</f>
        <v>N/A</v>
      </c>
      <c r="J35" s="304"/>
      <c r="K35" s="135" t="str">
        <f>RPv!F33</f>
        <v>N/A</v>
      </c>
      <c r="L35" s="135" t="str">
        <f>RPv!F33</f>
        <v>N/A</v>
      </c>
      <c r="M35" s="135" t="str">
        <f>RPv!F33</f>
        <v>N/A</v>
      </c>
      <c r="N35" s="304"/>
      <c r="O35" s="135" t="str">
        <f>RPv!H33</f>
        <v>N/A</v>
      </c>
      <c r="P35" s="135" t="str">
        <f>RPv!H33</f>
        <v>N/A</v>
      </c>
      <c r="Q35" s="135" t="str">
        <f>RPv!H33</f>
        <v>N/A</v>
      </c>
      <c r="R35" s="304"/>
      <c r="S35" s="135" t="str">
        <f>RPv!J33</f>
        <v>N/A</v>
      </c>
      <c r="T35" s="135" t="str">
        <f>RPv!J33</f>
        <v>N/A</v>
      </c>
      <c r="U35" s="136" t="str">
        <f>RPv!J33</f>
        <v>N/A</v>
      </c>
      <c r="V35" s="139"/>
      <c r="W35" s="139"/>
      <c r="X35" s="139" t="s">
        <v>235</v>
      </c>
      <c r="Y35" s="307" t="s">
        <v>249</v>
      </c>
      <c r="Z35" s="270">
        <v>23</v>
      </c>
      <c r="AA35" s="308">
        <v>6.58</v>
      </c>
      <c r="AB35" s="308">
        <v>0.57999999999999996</v>
      </c>
      <c r="AC35" s="317">
        <v>129</v>
      </c>
      <c r="AD35" s="270"/>
      <c r="AE35" s="42"/>
      <c r="AF35" s="42"/>
      <c r="AG35" s="42"/>
      <c r="AH35" s="42"/>
      <c r="AI35" s="42"/>
      <c r="AJ35" s="42"/>
      <c r="AM35" s="41"/>
      <c r="AN35" s="41"/>
      <c r="AO35" s="41"/>
      <c r="AP35" s="41"/>
    </row>
    <row r="36" spans="1:42" hidden="1" x14ac:dyDescent="0.25">
      <c r="A36" s="168" t="s">
        <v>287</v>
      </c>
      <c r="B36" s="304"/>
      <c r="C36" s="135" t="e">
        <f>C34*C35</f>
        <v>#VALUE!</v>
      </c>
      <c r="D36" s="135" t="e">
        <f>D34*D35</f>
        <v>#VALUE!</v>
      </c>
      <c r="E36" s="135" t="e">
        <f>E34*E35</f>
        <v>#N/A</v>
      </c>
      <c r="F36" s="304"/>
      <c r="G36" s="135" t="e">
        <f>G34*G35</f>
        <v>#VALUE!</v>
      </c>
      <c r="H36" s="135" t="e">
        <f>H34*H35</f>
        <v>#VALUE!</v>
      </c>
      <c r="I36" s="135" t="e">
        <f>I34*I35</f>
        <v>#VALUE!</v>
      </c>
      <c r="J36" s="304"/>
      <c r="K36" s="135" t="e">
        <f>K34*K35</f>
        <v>#VALUE!</v>
      </c>
      <c r="L36" s="135" t="e">
        <f>L34*L35</f>
        <v>#VALUE!</v>
      </c>
      <c r="M36" s="135" t="e">
        <f>M34*M35</f>
        <v>#VALUE!</v>
      </c>
      <c r="N36" s="304"/>
      <c r="O36" s="135" t="e">
        <f>O34*O35</f>
        <v>#VALUE!</v>
      </c>
      <c r="P36" s="135" t="e">
        <f>P34*P35</f>
        <v>#VALUE!</v>
      </c>
      <c r="Q36" s="135" t="e">
        <f>Q34*Q35</f>
        <v>#VALUE!</v>
      </c>
      <c r="R36" s="304"/>
      <c r="S36" s="135" t="e">
        <f>S34*S35</f>
        <v>#VALUE!</v>
      </c>
      <c r="T36" s="135" t="e">
        <f>T34*T35</f>
        <v>#VALUE!</v>
      </c>
      <c r="U36" s="136" t="e">
        <f>U34*U35</f>
        <v>#VALUE!</v>
      </c>
      <c r="V36" s="139"/>
      <c r="W36" s="309"/>
      <c r="X36" s="139"/>
      <c r="Y36" s="307" t="s">
        <v>250</v>
      </c>
      <c r="Z36" s="270">
        <v>24</v>
      </c>
      <c r="AA36" s="308">
        <v>6.58</v>
      </c>
      <c r="AB36" s="308">
        <v>0.57999999999999996</v>
      </c>
      <c r="AC36" s="317">
        <v>129</v>
      </c>
      <c r="AD36" s="270"/>
      <c r="AE36" s="42"/>
      <c r="AF36" s="42"/>
      <c r="AG36" s="42"/>
      <c r="AH36" s="42"/>
      <c r="AI36" s="42"/>
      <c r="AJ36" s="42"/>
      <c r="AM36" s="41"/>
      <c r="AN36" s="41"/>
      <c r="AO36" s="41"/>
      <c r="AP36" s="41"/>
    </row>
    <row r="37" spans="1:42" hidden="1" x14ac:dyDescent="0.25">
      <c r="A37" s="168" t="s">
        <v>288</v>
      </c>
      <c r="B37" s="304"/>
      <c r="C37" s="226" t="e">
        <f>C36*43560/12</f>
        <v>#VALUE!</v>
      </c>
      <c r="D37" s="226" t="e">
        <f>D36*43560/12</f>
        <v>#VALUE!</v>
      </c>
      <c r="E37" s="226" t="e">
        <f>E36*43560/12</f>
        <v>#N/A</v>
      </c>
      <c r="F37" s="304"/>
      <c r="G37" s="226" t="e">
        <f>G36*43560/12</f>
        <v>#VALUE!</v>
      </c>
      <c r="H37" s="226" t="e">
        <f>H36*43560/12</f>
        <v>#VALUE!</v>
      </c>
      <c r="I37" s="226" t="e">
        <f>I36*43560/12</f>
        <v>#VALUE!</v>
      </c>
      <c r="J37" s="304"/>
      <c r="K37" s="226" t="e">
        <f>K36*43560/12</f>
        <v>#VALUE!</v>
      </c>
      <c r="L37" s="226" t="e">
        <f>L36*43560/12</f>
        <v>#VALUE!</v>
      </c>
      <c r="M37" s="226" t="e">
        <f>M36*43560/12</f>
        <v>#VALUE!</v>
      </c>
      <c r="N37" s="304"/>
      <c r="O37" s="226" t="e">
        <f>O36*43560/12</f>
        <v>#VALUE!</v>
      </c>
      <c r="P37" s="226" t="e">
        <f>P36*43560/12</f>
        <v>#VALUE!</v>
      </c>
      <c r="Q37" s="226" t="e">
        <f>Q36*43560/12</f>
        <v>#VALUE!</v>
      </c>
      <c r="R37" s="304"/>
      <c r="S37" s="226" t="e">
        <f>S36*43560/12</f>
        <v>#VALUE!</v>
      </c>
      <c r="T37" s="226" t="e">
        <f>T36*43560/12</f>
        <v>#VALUE!</v>
      </c>
      <c r="U37" s="310" t="e">
        <f>U36*43560/12</f>
        <v>#VALUE!</v>
      </c>
      <c r="V37" s="139"/>
      <c r="W37" s="309"/>
      <c r="X37" s="139"/>
      <c r="Y37" s="307" t="s">
        <v>251</v>
      </c>
      <c r="Z37" s="270">
        <v>25</v>
      </c>
      <c r="AA37" s="308">
        <v>6.58</v>
      </c>
      <c r="AB37" s="308">
        <v>0.57999999999999996</v>
      </c>
      <c r="AC37" s="317">
        <v>129</v>
      </c>
      <c r="AD37" s="270"/>
      <c r="AE37" s="42"/>
      <c r="AF37" s="42"/>
      <c r="AG37" s="42"/>
      <c r="AH37" s="42"/>
      <c r="AI37" s="42"/>
      <c r="AJ37" s="42"/>
      <c r="AM37" s="41"/>
      <c r="AN37" s="41"/>
      <c r="AO37" s="41"/>
      <c r="AP37" s="41"/>
    </row>
    <row r="38" spans="1:42" ht="15.75" hidden="1" thickBot="1" x14ac:dyDescent="0.3">
      <c r="A38" s="168" t="s">
        <v>289</v>
      </c>
      <c r="B38" s="311"/>
      <c r="C38" s="312" t="e">
        <f>B8*C37</f>
        <v>#VALUE!</v>
      </c>
      <c r="D38" s="312" t="e">
        <f>B8*D37</f>
        <v>#VALUE!</v>
      </c>
      <c r="E38" s="312" t="e">
        <f>B8*E37</f>
        <v>#N/A</v>
      </c>
      <c r="F38" s="311"/>
      <c r="G38" s="312" t="e">
        <f>B8*G37</f>
        <v>#VALUE!</v>
      </c>
      <c r="H38" s="312" t="e">
        <f>B8*H37</f>
        <v>#VALUE!</v>
      </c>
      <c r="I38" s="312" t="e">
        <f>B8*I37</f>
        <v>#VALUE!</v>
      </c>
      <c r="J38" s="311"/>
      <c r="K38" s="312" t="e">
        <f>B8*K37</f>
        <v>#VALUE!</v>
      </c>
      <c r="L38" s="312" t="e">
        <f>B8*L37</f>
        <v>#VALUE!</v>
      </c>
      <c r="M38" s="312" t="e">
        <f>B8*M37</f>
        <v>#VALUE!</v>
      </c>
      <c r="N38" s="311"/>
      <c r="O38" s="312" t="e">
        <f>B8*O37</f>
        <v>#VALUE!</v>
      </c>
      <c r="P38" s="312" t="e">
        <f>B8*P37</f>
        <v>#VALUE!</v>
      </c>
      <c r="Q38" s="312" t="e">
        <f>B8*Q37</f>
        <v>#VALUE!</v>
      </c>
      <c r="R38" s="311"/>
      <c r="S38" s="312" t="e">
        <f>B8*S37</f>
        <v>#VALUE!</v>
      </c>
      <c r="T38" s="312" t="e">
        <f>B8*T37</f>
        <v>#VALUE!</v>
      </c>
      <c r="U38" s="313" t="e">
        <f>B8*U37</f>
        <v>#VALUE!</v>
      </c>
      <c r="V38" s="139"/>
      <c r="W38" s="139"/>
      <c r="X38" s="139"/>
      <c r="Y38" s="307" t="s">
        <v>252</v>
      </c>
      <c r="Z38" s="270">
        <v>26</v>
      </c>
      <c r="AA38" s="308">
        <v>6.58</v>
      </c>
      <c r="AB38" s="308">
        <v>0.57999999999999996</v>
      </c>
      <c r="AC38" s="317">
        <v>129</v>
      </c>
      <c r="AD38" s="270"/>
      <c r="AE38" s="42"/>
      <c r="AF38" s="42"/>
    </row>
    <row r="39" spans="1:42" hidden="1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307" t="s">
        <v>329</v>
      </c>
      <c r="Z39" s="270">
        <v>27</v>
      </c>
      <c r="AA39" s="308">
        <v>6.58</v>
      </c>
      <c r="AB39" s="308">
        <v>0.57999999999999996</v>
      </c>
      <c r="AC39" s="317">
        <v>129</v>
      </c>
      <c r="AD39" s="270"/>
      <c r="AE39" s="42"/>
      <c r="AF39" s="42"/>
    </row>
    <row r="40" spans="1:42" s="41" customFormat="1" hidden="1" x14ac:dyDescent="0.25">
      <c r="A40" s="314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307" t="s">
        <v>330</v>
      </c>
      <c r="Z40" s="270">
        <v>28</v>
      </c>
      <c r="AA40" s="308">
        <v>6.58</v>
      </c>
      <c r="AB40" s="308">
        <v>0.57999999999999996</v>
      </c>
      <c r="AC40" s="317">
        <v>129</v>
      </c>
      <c r="AD40" s="270"/>
      <c r="AE40" s="42"/>
      <c r="AF40" s="42"/>
    </row>
    <row r="41" spans="1:42" s="41" customFormat="1" hidden="1" x14ac:dyDescent="0.25">
      <c r="A41" s="314" t="s">
        <v>276</v>
      </c>
      <c r="B41" s="139"/>
      <c r="C41" s="247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307" t="s">
        <v>331</v>
      </c>
      <c r="Z41" s="270">
        <v>29</v>
      </c>
      <c r="AA41" s="308">
        <v>6.58</v>
      </c>
      <c r="AB41" s="308">
        <v>0.57999999999999996</v>
      </c>
      <c r="AC41" s="317">
        <v>129</v>
      </c>
      <c r="AD41" s="139"/>
    </row>
    <row r="42" spans="1:42" s="41" customFormat="1" hidden="1" x14ac:dyDescent="0.25">
      <c r="A42" s="314"/>
      <c r="B42" s="139"/>
      <c r="C42" s="247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307" t="s">
        <v>236</v>
      </c>
      <c r="Z42" s="270">
        <v>30</v>
      </c>
      <c r="AA42" s="308">
        <v>6.58</v>
      </c>
      <c r="AB42" s="308">
        <v>0.57999999999999996</v>
      </c>
      <c r="AC42" s="317">
        <v>129</v>
      </c>
      <c r="AD42" s="139"/>
    </row>
    <row r="43" spans="1:42" s="41" customFormat="1" x14ac:dyDescent="0.25">
      <c r="A43" s="315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307" t="s">
        <v>237</v>
      </c>
      <c r="Z43" s="270">
        <v>31</v>
      </c>
      <c r="AA43" s="308">
        <v>6.58</v>
      </c>
      <c r="AB43" s="308">
        <v>0.57999999999999996</v>
      </c>
      <c r="AC43" s="317">
        <v>129</v>
      </c>
      <c r="AD43" s="139"/>
    </row>
    <row r="44" spans="1:42" s="41" customFormat="1" x14ac:dyDescent="0.25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307" t="s">
        <v>238</v>
      </c>
      <c r="Z44" s="270">
        <v>32</v>
      </c>
      <c r="AA44" s="308">
        <v>6.58</v>
      </c>
      <c r="AB44" s="308">
        <v>0.57999999999999996</v>
      </c>
      <c r="AC44" s="317">
        <v>129</v>
      </c>
      <c r="AD44" s="139"/>
    </row>
    <row r="45" spans="1:42" s="41" customFormat="1" x14ac:dyDescent="0.25">
      <c r="A45" s="314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307" t="s">
        <v>239</v>
      </c>
      <c r="Z45" s="270">
        <v>33</v>
      </c>
      <c r="AA45" s="308">
        <v>6.58</v>
      </c>
      <c r="AB45" s="308">
        <v>0.57999999999999996</v>
      </c>
      <c r="AC45" s="317">
        <v>129</v>
      </c>
      <c r="AD45" s="139"/>
    </row>
    <row r="46" spans="1:42" s="41" customFormat="1" x14ac:dyDescent="0.25">
      <c r="A46" s="314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307" t="s">
        <v>240</v>
      </c>
      <c r="Z46" s="270">
        <v>34</v>
      </c>
      <c r="AA46" s="308">
        <v>6.58</v>
      </c>
      <c r="AB46" s="308">
        <v>0.57999999999999996</v>
      </c>
      <c r="AC46" s="317">
        <v>129</v>
      </c>
      <c r="AD46" s="139"/>
    </row>
    <row r="47" spans="1:42" s="41" customFormat="1" x14ac:dyDescent="0.2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307" t="s">
        <v>332</v>
      </c>
      <c r="Z47" s="270">
        <v>35</v>
      </c>
      <c r="AA47" s="308">
        <v>6.58</v>
      </c>
      <c r="AB47" s="308">
        <v>0.57999999999999996</v>
      </c>
      <c r="AC47" s="317">
        <v>129</v>
      </c>
      <c r="AD47" s="139"/>
    </row>
    <row r="48" spans="1:42" s="41" customFormat="1" x14ac:dyDescent="0.25">
      <c r="A48" s="314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307" t="s">
        <v>253</v>
      </c>
      <c r="Z48" s="270">
        <v>36</v>
      </c>
      <c r="AA48" s="308">
        <v>6.58</v>
      </c>
      <c r="AB48" s="308">
        <v>0.57999999999999996</v>
      </c>
      <c r="AC48" s="317">
        <v>129</v>
      </c>
      <c r="AD48" s="139"/>
    </row>
    <row r="49" spans="1:30" s="41" customFormat="1" x14ac:dyDescent="0.25">
      <c r="A49" s="314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307" t="s">
        <v>254</v>
      </c>
      <c r="Z49" s="270">
        <v>37</v>
      </c>
      <c r="AA49" s="308">
        <v>6.58</v>
      </c>
      <c r="AB49" s="308">
        <v>0.57999999999999996</v>
      </c>
      <c r="AC49" s="317">
        <v>129</v>
      </c>
      <c r="AD49" s="139"/>
    </row>
    <row r="50" spans="1:30" s="41" customFormat="1" x14ac:dyDescent="0.25">
      <c r="A50" s="314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316"/>
      <c r="AB50" s="247"/>
      <c r="AC50" s="296"/>
      <c r="AD50" s="139"/>
    </row>
    <row r="51" spans="1:30" s="41" customFormat="1" x14ac:dyDescent="0.25">
      <c r="A51" s="314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 t="s">
        <v>241</v>
      </c>
      <c r="Y51" s="139" t="s">
        <v>242</v>
      </c>
      <c r="Z51" s="139">
        <v>38</v>
      </c>
      <c r="AA51" s="316">
        <v>5.7</v>
      </c>
      <c r="AB51" s="247">
        <v>0.23</v>
      </c>
      <c r="AC51" s="296" t="s">
        <v>189</v>
      </c>
      <c r="AD51" s="139"/>
    </row>
    <row r="52" spans="1:30" s="41" customFormat="1" x14ac:dyDescent="0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 t="s">
        <v>243</v>
      </c>
      <c r="Z52" s="139">
        <v>39</v>
      </c>
      <c r="AA52" s="316">
        <v>5.7</v>
      </c>
      <c r="AB52" s="247">
        <v>0.23</v>
      </c>
      <c r="AC52" s="296" t="s">
        <v>189</v>
      </c>
      <c r="AD52" s="139"/>
    </row>
    <row r="53" spans="1:30" s="41" customFormat="1" x14ac:dyDescent="0.25">
      <c r="A53" s="31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 t="s">
        <v>260</v>
      </c>
      <c r="Z53" s="139">
        <v>40</v>
      </c>
      <c r="AA53" s="316">
        <v>3.3</v>
      </c>
      <c r="AB53" s="247">
        <v>0.18</v>
      </c>
      <c r="AC53" s="296" t="s">
        <v>189</v>
      </c>
      <c r="AD53" s="139"/>
    </row>
    <row r="54" spans="1:30" s="41" customFormat="1" x14ac:dyDescent="0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 t="s">
        <v>261</v>
      </c>
      <c r="Z54" s="139">
        <v>40</v>
      </c>
      <c r="AA54" s="316">
        <v>5.7</v>
      </c>
      <c r="AB54" s="247">
        <v>0.23</v>
      </c>
      <c r="AC54" s="296" t="s">
        <v>189</v>
      </c>
      <c r="AD54" s="139"/>
    </row>
    <row r="55" spans="1:30" s="41" customFormat="1" x14ac:dyDescent="0.25">
      <c r="A55" s="314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 t="s">
        <v>244</v>
      </c>
      <c r="Z55" s="139">
        <v>41</v>
      </c>
      <c r="AA55" s="316">
        <v>3.3</v>
      </c>
      <c r="AB55" s="247">
        <v>0.18</v>
      </c>
      <c r="AC55" s="296" t="s">
        <v>189</v>
      </c>
      <c r="AD55" s="139"/>
    </row>
    <row r="56" spans="1:30" s="41" customFormat="1" x14ac:dyDescent="0.25">
      <c r="A56" s="314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 t="s">
        <v>245</v>
      </c>
      <c r="Z56" s="139">
        <v>42</v>
      </c>
      <c r="AA56" s="316">
        <v>5.7</v>
      </c>
      <c r="AB56" s="247">
        <v>0.23</v>
      </c>
      <c r="AC56" s="296" t="s">
        <v>189</v>
      </c>
      <c r="AD56" s="139"/>
    </row>
    <row r="57" spans="1:30" s="41" customFormat="1" x14ac:dyDescent="0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 t="s">
        <v>247</v>
      </c>
      <c r="Z57" s="139">
        <v>43</v>
      </c>
      <c r="AA57" s="316">
        <v>11.9</v>
      </c>
      <c r="AB57" s="247">
        <v>0.39</v>
      </c>
      <c r="AC57" s="296" t="s">
        <v>189</v>
      </c>
      <c r="AD57" s="139"/>
    </row>
    <row r="58" spans="1:30" s="41" customFormat="1" x14ac:dyDescent="0.25">
      <c r="A58" s="314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307" t="s">
        <v>255</v>
      </c>
      <c r="Z58" s="307">
        <v>44</v>
      </c>
      <c r="AA58" s="308"/>
      <c r="AB58" s="308"/>
      <c r="AC58" s="296"/>
      <c r="AD58" s="139"/>
    </row>
    <row r="59" spans="1:30" s="41" customFormat="1" x14ac:dyDescent="0.25">
      <c r="A59" s="314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 t="s">
        <v>246</v>
      </c>
      <c r="Z59" s="139">
        <v>45</v>
      </c>
      <c r="AA59" s="247">
        <v>5.7</v>
      </c>
      <c r="AB59" s="247">
        <v>0.23</v>
      </c>
      <c r="AC59" s="296" t="s">
        <v>189</v>
      </c>
      <c r="AD59" s="139"/>
    </row>
    <row r="60" spans="1:30" s="41" customFormat="1" x14ac:dyDescent="0.25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319"/>
      <c r="AB60" s="319"/>
      <c r="AC60" s="319"/>
      <c r="AD60" s="139"/>
    </row>
    <row r="61" spans="1:30" s="41" customFormat="1" x14ac:dyDescent="0.25">
      <c r="A61" s="314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 t="s">
        <v>214</v>
      </c>
      <c r="Z61" s="139"/>
      <c r="AA61" s="319"/>
      <c r="AB61" s="319"/>
      <c r="AC61" s="319"/>
      <c r="AD61" s="139"/>
    </row>
    <row r="62" spans="1:30" s="41" customFormat="1" ht="15" customHeight="1" x14ac:dyDescent="0.25">
      <c r="A62" s="314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270"/>
      <c r="AB62" s="139"/>
      <c r="AC62" s="139"/>
      <c r="AD62" s="139"/>
    </row>
    <row r="63" spans="1:30" s="41" customFormat="1" ht="15" customHeight="1" x14ac:dyDescent="0.25">
      <c r="A63" s="314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</row>
    <row r="64" spans="1:30" s="41" customFormat="1" ht="15" customHeight="1" x14ac:dyDescent="0.2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</row>
    <row r="65" spans="1:30" s="41" customFormat="1" ht="15" customHeight="1" x14ac:dyDescent="0.25">
      <c r="A65" s="314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</row>
    <row r="66" spans="1:30" s="41" customFormat="1" ht="15" customHeight="1" x14ac:dyDescent="0.25">
      <c r="A66" s="314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</row>
    <row r="67" spans="1:30" s="41" customFormat="1" ht="15" customHeight="1" x14ac:dyDescent="0.25">
      <c r="A67" s="314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</row>
    <row r="68" spans="1:30" s="41" customFormat="1" ht="15" customHeight="1" x14ac:dyDescent="0.25">
      <c r="A68" s="127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</row>
    <row r="69" spans="1:30" ht="15" customHeigh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</row>
    <row r="70" spans="1:30" ht="15" customHeigh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</row>
    <row r="71" spans="1:30" ht="15" customHeigh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</row>
    <row r="72" spans="1:30" ht="1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</row>
    <row r="73" spans="1:30" ht="1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</row>
    <row r="74" spans="1:30" ht="1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</row>
    <row r="75" spans="1:30" ht="1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</row>
    <row r="76" spans="1:30" ht="1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</row>
    <row r="77" spans="1:30" ht="1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AA77" s="41"/>
      <c r="AD77" s="139"/>
    </row>
    <row r="78" spans="1:30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AA78" s="41"/>
      <c r="AD78" s="139"/>
    </row>
    <row r="79" spans="1:30" ht="1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AA79" s="41"/>
      <c r="AD79" s="139"/>
    </row>
    <row r="80" spans="1:30" ht="1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AA80" s="41"/>
      <c r="AD80" s="139"/>
    </row>
    <row r="81" spans="1:30" ht="1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AA81" s="41"/>
      <c r="AD81" s="139"/>
    </row>
    <row r="82" spans="1:30" ht="1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AA82" s="41"/>
      <c r="AD82" s="139"/>
    </row>
    <row r="83" spans="1:30" ht="1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AA83" s="41"/>
      <c r="AD83" s="139"/>
    </row>
    <row r="84" spans="1:30" ht="1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AA84" s="41"/>
      <c r="AD84" s="139"/>
    </row>
    <row r="85" spans="1:30" ht="1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AA85" s="41"/>
      <c r="AD85" s="139"/>
    </row>
    <row r="86" spans="1:30" ht="1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AA86" s="41"/>
      <c r="AD86" s="139"/>
    </row>
    <row r="87" spans="1:30" ht="1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AA87" s="41"/>
      <c r="AD87" s="139"/>
    </row>
    <row r="88" spans="1:30" ht="1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AA88" s="41"/>
      <c r="AD88" s="139"/>
    </row>
    <row r="89" spans="1:30" ht="1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AA89" s="41"/>
      <c r="AD89" s="139"/>
    </row>
    <row r="90" spans="1:30" ht="1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AA90" s="41"/>
      <c r="AD90" s="139"/>
    </row>
    <row r="91" spans="1:30" ht="15" customHeight="1" x14ac:dyDescent="0.25">
      <c r="A91" s="14"/>
      <c r="B91" s="14"/>
      <c r="C91" s="194"/>
      <c r="D91" s="15"/>
      <c r="E91" s="90"/>
      <c r="F91" s="90"/>
      <c r="G91" s="14"/>
      <c r="H91" s="14"/>
      <c r="I91" s="14"/>
      <c r="J91" s="14"/>
      <c r="K91" s="14"/>
      <c r="L91" s="14"/>
      <c r="M91" s="14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AA91" s="41"/>
      <c r="AD91" s="139"/>
    </row>
    <row r="92" spans="1:30" ht="1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AA92" s="41"/>
      <c r="AD92" s="139"/>
    </row>
    <row r="93" spans="1:30" ht="1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AA93" s="41"/>
      <c r="AD93" s="139"/>
    </row>
    <row r="94" spans="1:30" ht="15" customHeight="1" x14ac:dyDescent="0.25">
      <c r="V94" s="139"/>
      <c r="W94" s="139"/>
      <c r="AA94" s="41"/>
      <c r="AD94" s="139"/>
    </row>
    <row r="95" spans="1:30" ht="15" customHeight="1" x14ac:dyDescent="0.25">
      <c r="AA95" s="41"/>
    </row>
    <row r="96" spans="1:30" ht="15" customHeight="1" x14ac:dyDescent="0.25">
      <c r="AA96" s="41"/>
    </row>
    <row r="97" spans="27:27" ht="15" customHeight="1" x14ac:dyDescent="0.25">
      <c r="AA97" s="41"/>
    </row>
    <row r="98" spans="27:27" ht="15" customHeight="1" x14ac:dyDescent="0.25">
      <c r="AA98" s="41"/>
    </row>
    <row r="99" spans="27:27" x14ac:dyDescent="0.25">
      <c r="AA99" s="41"/>
    </row>
    <row r="100" spans="27:27" x14ac:dyDescent="0.25">
      <c r="AA100" s="41"/>
    </row>
  </sheetData>
  <sheetProtection algorithmName="SHA-512" hashValue="pRzefUiZYEBQw7YVckS4Zjgwh8pjxsGDs/G6LfbR91NXFdz4RTYgkhWHaCdnsATRbBshtr034RMKecNY+m4c2w==" saltValue="6ugRvninhgBXhis7PfSKuA==" spinCount="100000" sheet="1" objects="1" scenarios="1"/>
  <mergeCells count="16">
    <mergeCell ref="Z1:AB1"/>
    <mergeCell ref="B1:U1"/>
    <mergeCell ref="B2:U2"/>
    <mergeCell ref="B5:E5"/>
    <mergeCell ref="F5:I5"/>
    <mergeCell ref="J5:M5"/>
    <mergeCell ref="N5:Q5"/>
    <mergeCell ref="B3:E3"/>
    <mergeCell ref="F3:U3"/>
    <mergeCell ref="S6:U6"/>
    <mergeCell ref="R5:U5"/>
    <mergeCell ref="X5:AC5"/>
    <mergeCell ref="C6:E6"/>
    <mergeCell ref="G6:I6"/>
    <mergeCell ref="K6:M6"/>
    <mergeCell ref="O6:Q6"/>
  </mergeCells>
  <dataValidations count="1">
    <dataValidation type="list" showInputMessage="1" showErrorMessage="1" sqref="B3:F3" xr:uid="{00000000-0002-0000-0400-000000000000}">
      <formula1>$Y$7:$Y$61</formula1>
    </dataValidation>
  </dataValidations>
  <pageMargins left="0.7" right="0.7" top="0.75" bottom="0.75" header="0.3" footer="0.3"/>
  <pageSetup paperSize="17" scale="8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U91"/>
  <sheetViews>
    <sheetView zoomScale="90" zoomScaleNormal="90" workbookViewId="0">
      <selection activeCell="B8" sqref="B8"/>
    </sheetView>
  </sheetViews>
  <sheetFormatPr defaultRowHeight="15" x14ac:dyDescent="0.25"/>
  <cols>
    <col min="1" max="1" width="45.42578125" style="51" bestFit="1" customWidth="1"/>
    <col min="2" max="2" width="10.7109375" style="51" customWidth="1"/>
    <col min="3" max="3" width="20.7109375" style="51" customWidth="1"/>
    <col min="4" max="4" width="10.7109375" style="51" customWidth="1"/>
    <col min="5" max="5" width="20.7109375" style="51" customWidth="1"/>
    <col min="6" max="6" width="10.7109375" style="51" customWidth="1"/>
    <col min="7" max="7" width="20.7109375" style="51" customWidth="1"/>
    <col min="8" max="8" width="10.7109375" style="51" customWidth="1"/>
    <col min="9" max="9" width="20.7109375" style="51" customWidth="1"/>
    <col min="10" max="10" width="10.7109375" style="51" customWidth="1"/>
    <col min="11" max="11" width="20.7109375" style="51" customWidth="1"/>
    <col min="12" max="14" width="9.140625" style="51"/>
    <col min="15" max="16" width="0" style="51" hidden="1" customWidth="1"/>
    <col min="17" max="18" width="9.140625" style="51"/>
    <col min="19" max="19" width="30.5703125" style="51" bestFit="1" customWidth="1"/>
    <col min="20" max="20" width="12.85546875" style="51" bestFit="1" customWidth="1"/>
    <col min="21" max="21" width="15" style="51" bestFit="1" customWidth="1"/>
    <col min="22" max="16384" width="9.140625" style="51"/>
  </cols>
  <sheetData>
    <row r="1" spans="1:21" ht="15.75" x14ac:dyDescent="0.25">
      <c r="A1" s="55" t="s">
        <v>4</v>
      </c>
      <c r="B1" s="508">
        <f>'C.A. RCN'!C1</f>
        <v>0</v>
      </c>
      <c r="C1" s="508"/>
      <c r="D1" s="508"/>
      <c r="E1" s="508"/>
      <c r="F1" s="508"/>
      <c r="G1" s="508"/>
      <c r="H1" s="508"/>
      <c r="I1" s="508"/>
      <c r="J1" s="508"/>
      <c r="K1" s="508"/>
    </row>
    <row r="2" spans="1:21" ht="15.75" x14ac:dyDescent="0.25">
      <c r="A2" s="55" t="s">
        <v>7</v>
      </c>
      <c r="B2" s="508">
        <f>'C.A. RCN'!C2</f>
        <v>0</v>
      </c>
      <c r="C2" s="508"/>
      <c r="D2" s="508"/>
      <c r="E2" s="508"/>
      <c r="F2" s="508"/>
      <c r="G2" s="508"/>
      <c r="H2" s="508"/>
      <c r="I2" s="508"/>
      <c r="J2" s="508"/>
      <c r="K2" s="508"/>
    </row>
    <row r="3" spans="1:21" ht="15.75" x14ac:dyDescent="0.25">
      <c r="A3" s="55" t="s">
        <v>205</v>
      </c>
      <c r="B3" s="508">
        <f>'C.A. RCN'!C3</f>
        <v>0</v>
      </c>
      <c r="C3" s="508"/>
      <c r="D3" s="508"/>
      <c r="E3" s="508"/>
      <c r="F3" s="508"/>
      <c r="G3" s="508"/>
      <c r="H3" s="508"/>
      <c r="I3" s="508"/>
      <c r="J3" s="508"/>
      <c r="K3" s="508"/>
    </row>
    <row r="4" spans="1:21" ht="16.5" thickBot="1" x14ac:dyDescent="0.3">
      <c r="A4" s="390" t="s">
        <v>297</v>
      </c>
    </row>
    <row r="5" spans="1:21" ht="21" customHeight="1" x14ac:dyDescent="0.25">
      <c r="A5" s="2"/>
      <c r="B5" s="509" t="s">
        <v>1</v>
      </c>
      <c r="C5" s="510"/>
      <c r="D5" s="511" t="s">
        <v>2</v>
      </c>
      <c r="E5" s="510"/>
      <c r="F5" s="509" t="s">
        <v>3</v>
      </c>
      <c r="G5" s="510"/>
      <c r="H5" s="509" t="s">
        <v>9</v>
      </c>
      <c r="I5" s="510"/>
      <c r="J5" s="511" t="s">
        <v>10</v>
      </c>
      <c r="K5" s="510"/>
    </row>
    <row r="6" spans="1:21" ht="30" customHeight="1" x14ac:dyDescent="0.25">
      <c r="A6" s="2"/>
      <c r="B6" s="8" t="s">
        <v>6</v>
      </c>
      <c r="C6" s="210" t="str">
        <f>RPv!C6</f>
        <v>--</v>
      </c>
      <c r="D6" s="27" t="s">
        <v>6</v>
      </c>
      <c r="E6" s="210" t="str">
        <f>RPv!E6</f>
        <v>--</v>
      </c>
      <c r="F6" s="8" t="s">
        <v>6</v>
      </c>
      <c r="G6" s="210" t="str">
        <f>RPv!G6</f>
        <v>--</v>
      </c>
      <c r="H6" s="8" t="s">
        <v>6</v>
      </c>
      <c r="I6" s="210" t="str">
        <f>RPv!I6</f>
        <v>--</v>
      </c>
      <c r="J6" s="27" t="s">
        <v>6</v>
      </c>
      <c r="K6" s="210" t="str">
        <f>RPv!K6</f>
        <v>--</v>
      </c>
      <c r="O6" s="34" t="s">
        <v>210</v>
      </c>
      <c r="P6" s="34" t="s">
        <v>169</v>
      </c>
      <c r="R6" s="54"/>
      <c r="S6" s="54"/>
      <c r="T6" s="54"/>
      <c r="U6" s="60"/>
    </row>
    <row r="7" spans="1:21" x14ac:dyDescent="0.25">
      <c r="A7" s="3" t="s">
        <v>155</v>
      </c>
      <c r="B7" s="10" t="s">
        <v>0</v>
      </c>
      <c r="C7" s="11"/>
      <c r="D7" s="28" t="s">
        <v>0</v>
      </c>
      <c r="E7" s="11"/>
      <c r="F7" s="10" t="s">
        <v>0</v>
      </c>
      <c r="G7" s="11"/>
      <c r="H7" s="10" t="s">
        <v>0</v>
      </c>
      <c r="I7" s="11"/>
      <c r="J7" s="28" t="s">
        <v>0</v>
      </c>
      <c r="K7" s="11"/>
      <c r="O7" s="51" t="s">
        <v>207</v>
      </c>
      <c r="P7" s="31">
        <v>5.2</v>
      </c>
      <c r="R7" s="54"/>
      <c r="S7" s="54"/>
      <c r="T7" s="54"/>
      <c r="U7" s="60"/>
    </row>
    <row r="8" spans="1:21" x14ac:dyDescent="0.25">
      <c r="A8" s="1" t="s">
        <v>154</v>
      </c>
      <c r="B8" s="47">
        <f>RPv!B8</f>
        <v>0</v>
      </c>
      <c r="C8" s="12"/>
      <c r="D8" s="76">
        <f>B8</f>
        <v>0</v>
      </c>
      <c r="E8" s="12"/>
      <c r="F8" s="47">
        <f>D8</f>
        <v>0</v>
      </c>
      <c r="G8" s="12"/>
      <c r="H8" s="47">
        <f>F8</f>
        <v>0</v>
      </c>
      <c r="I8" s="12"/>
      <c r="J8" s="73">
        <f>H8</f>
        <v>0</v>
      </c>
      <c r="K8" s="12"/>
      <c r="O8" s="51" t="s">
        <v>208</v>
      </c>
      <c r="P8" s="31">
        <v>4.8</v>
      </c>
      <c r="R8" s="54"/>
      <c r="S8" s="54"/>
      <c r="T8" s="54"/>
      <c r="U8" s="60"/>
    </row>
    <row r="9" spans="1:21" x14ac:dyDescent="0.25">
      <c r="A9" s="1" t="s">
        <v>299</v>
      </c>
      <c r="B9" s="47" t="e">
        <f>RPv!B9</f>
        <v>#DIV/0!</v>
      </c>
      <c r="C9" s="12"/>
      <c r="D9" s="74"/>
      <c r="E9" s="12"/>
      <c r="F9" s="70"/>
      <c r="G9" s="12"/>
      <c r="H9" s="70"/>
      <c r="I9" s="12"/>
      <c r="J9" s="74"/>
      <c r="K9" s="12"/>
      <c r="O9" s="51" t="s">
        <v>209</v>
      </c>
      <c r="P9" s="31">
        <v>5.3</v>
      </c>
      <c r="R9" s="54"/>
      <c r="S9" s="54"/>
      <c r="T9" s="54"/>
      <c r="U9" s="60"/>
    </row>
    <row r="10" spans="1:21" x14ac:dyDescent="0.25">
      <c r="A10" s="56" t="s">
        <v>493</v>
      </c>
      <c r="B10" s="48" t="e">
        <f>VLOOKUP(B3,O7:P9,2)</f>
        <v>#N/A</v>
      </c>
      <c r="C10" s="12"/>
      <c r="D10" s="75"/>
      <c r="E10" s="52"/>
      <c r="F10" s="71"/>
      <c r="G10" s="52"/>
      <c r="H10" s="71"/>
      <c r="I10" s="52"/>
      <c r="J10" s="75"/>
      <c r="K10" s="52"/>
      <c r="R10" s="54"/>
      <c r="S10" s="4"/>
      <c r="T10" s="4"/>
      <c r="U10" s="60"/>
    </row>
    <row r="11" spans="1:21" ht="15" customHeight="1" thickBot="1" x14ac:dyDescent="0.3">
      <c r="A11" s="46" t="s">
        <v>306</v>
      </c>
      <c r="B11" s="63" t="e">
        <f>IF(B10=0,"XXXXXXXX",(B10-0.2*((1000/B9)-10))^2/(B10+0.8*((1000/B9)-10)))</f>
        <v>#N/A</v>
      </c>
      <c r="C11" s="53"/>
      <c r="D11" s="391"/>
      <c r="E11" s="5"/>
      <c r="F11" s="392"/>
      <c r="G11" s="5"/>
      <c r="H11" s="392"/>
      <c r="I11" s="5"/>
      <c r="J11" s="391"/>
      <c r="K11" s="5"/>
      <c r="R11" s="54"/>
      <c r="S11" s="54"/>
      <c r="T11" s="54"/>
      <c r="U11" s="60"/>
    </row>
    <row r="12" spans="1:21" x14ac:dyDescent="0.25">
      <c r="A12" s="1"/>
      <c r="B12" s="64"/>
      <c r="C12" s="4"/>
      <c r="D12" s="64"/>
      <c r="E12" s="4"/>
      <c r="F12" s="64"/>
      <c r="G12" s="4"/>
      <c r="H12" s="64"/>
      <c r="I12" s="4"/>
      <c r="J12" s="64"/>
      <c r="K12" s="4"/>
      <c r="R12" s="54"/>
      <c r="S12" s="4"/>
      <c r="T12" s="4"/>
      <c r="U12" s="60"/>
    </row>
    <row r="13" spans="1:21" ht="15.75" thickBot="1" x14ac:dyDescent="0.3">
      <c r="A13" s="3" t="s">
        <v>15</v>
      </c>
      <c r="B13" s="64"/>
      <c r="C13" s="4"/>
      <c r="D13" s="64"/>
      <c r="E13" s="4"/>
      <c r="F13" s="64"/>
      <c r="G13" s="4"/>
      <c r="H13" s="64"/>
      <c r="I13" s="4"/>
      <c r="J13" s="64"/>
      <c r="K13" s="4"/>
      <c r="R13" s="54"/>
      <c r="S13" s="4"/>
      <c r="T13" s="4"/>
      <c r="U13" s="60"/>
    </row>
    <row r="14" spans="1:21" x14ac:dyDescent="0.25">
      <c r="A14" s="1" t="s">
        <v>12</v>
      </c>
      <c r="B14" s="65" t="str">
        <f>IF(C6="--","N/A",IF(RPv!B16=0, 0,RPv!B15))</f>
        <v>N/A</v>
      </c>
      <c r="C14" s="6"/>
      <c r="D14" s="65" t="str">
        <f>IF(E6="--","N/A",IF(RPv!D16=0, 0,RPv!D15))</f>
        <v>N/A</v>
      </c>
      <c r="E14" s="6"/>
      <c r="F14" s="65" t="str">
        <f>IF(G6="--","N/A",IF(RPv!F16=0, 0,RPv!F15))</f>
        <v>N/A</v>
      </c>
      <c r="G14" s="6"/>
      <c r="H14" s="65" t="str">
        <f>IF(I6="--","N/A",IF(RPv!H16=0, 0,RPv!H15))</f>
        <v>N/A</v>
      </c>
      <c r="I14" s="6"/>
      <c r="J14" s="65" t="str">
        <f>IF(K6="--","N/A",IF(RPv!J16=0, 0,RPv!J15))</f>
        <v>N/A</v>
      </c>
      <c r="K14" s="6"/>
      <c r="R14" s="54"/>
      <c r="S14" s="4"/>
      <c r="T14" s="4"/>
      <c r="U14" s="60"/>
    </row>
    <row r="15" spans="1:21" x14ac:dyDescent="0.25">
      <c r="A15" s="1" t="s">
        <v>262</v>
      </c>
      <c r="B15" s="66" t="str">
        <f>IF(C6="--","N/A",B14/43560)</f>
        <v>N/A</v>
      </c>
      <c r="C15" s="52"/>
      <c r="D15" s="66" t="str">
        <f>IF(E6="--","N/A",D14/43560)</f>
        <v>N/A</v>
      </c>
      <c r="E15" s="52"/>
      <c r="F15" s="66" t="str">
        <f>IF(G6="--","N/A",F14/43560)</f>
        <v>N/A</v>
      </c>
      <c r="G15" s="52"/>
      <c r="H15" s="66" t="str">
        <f>IF(I6="--","N/A",H14/43560)</f>
        <v>N/A</v>
      </c>
      <c r="I15" s="52"/>
      <c r="J15" s="66" t="str">
        <f>IF(K6="--","N/A",J14/43560)</f>
        <v>N/A</v>
      </c>
      <c r="K15" s="52"/>
      <c r="R15" s="54"/>
      <c r="S15" s="54"/>
      <c r="T15" s="54"/>
      <c r="U15" s="60"/>
    </row>
    <row r="16" spans="1:21" x14ac:dyDescent="0.25">
      <c r="A16" s="9" t="s">
        <v>264</v>
      </c>
      <c r="B16" s="47" t="str">
        <f>IF(C6="--","N/A",(B15*12)/B8)</f>
        <v>N/A</v>
      </c>
      <c r="C16" s="52"/>
      <c r="D16" s="47" t="str">
        <f>IF(E6="--","N/A",(D15*12)/D8)</f>
        <v>N/A</v>
      </c>
      <c r="E16" s="52"/>
      <c r="F16" s="47" t="str">
        <f>IF(G6="--","N/A",(F15*12)/F8)</f>
        <v>N/A</v>
      </c>
      <c r="G16" s="52"/>
      <c r="H16" s="47" t="str">
        <f>IF(I6="--","N/A",(H15*12)/H8)</f>
        <v>N/A</v>
      </c>
      <c r="I16" s="52"/>
      <c r="J16" s="47" t="str">
        <f>IF(K6="--","N/A",(J15*12)/J8)</f>
        <v>N/A</v>
      </c>
      <c r="K16" s="52"/>
      <c r="R16" s="54"/>
      <c r="S16" s="54"/>
      <c r="T16" s="54"/>
      <c r="U16" s="60"/>
    </row>
    <row r="17" spans="1:21" x14ac:dyDescent="0.25">
      <c r="A17" s="9" t="s">
        <v>265</v>
      </c>
      <c r="B17" s="49" t="str">
        <f>IF(C6="--","N/A",IF(B11-B16&lt;=0,0,B11-B16))</f>
        <v>N/A</v>
      </c>
      <c r="C17" s="52"/>
      <c r="D17" s="49" t="str">
        <f>IF(E6="--","N/A",IF(B27-D16&lt;=0,0,B27-D16))</f>
        <v>N/A</v>
      </c>
      <c r="E17" s="52"/>
      <c r="F17" s="49" t="str">
        <f>IF(G6="--","N/A",IF(D27-F16&lt;=0,0,D27-F16))</f>
        <v>N/A</v>
      </c>
      <c r="G17" s="52"/>
      <c r="H17" s="49" t="str">
        <f>IF(I6="--","N/A",IF(F27-H16&lt;=0,0,F27-H16))</f>
        <v>N/A</v>
      </c>
      <c r="I17" s="52"/>
      <c r="J17" s="49" t="str">
        <f>IF(K6="--","N/A",IF(H27-J16&lt;=0,0,H27-J16))</f>
        <v>N/A</v>
      </c>
      <c r="K17" s="52"/>
      <c r="R17" s="54"/>
      <c r="S17" s="54"/>
      <c r="T17" s="54"/>
      <c r="U17" s="60"/>
    </row>
    <row r="18" spans="1:21" ht="15.75" thickBot="1" x14ac:dyDescent="0.3">
      <c r="A18" s="9" t="s">
        <v>263</v>
      </c>
      <c r="B18" s="63" t="str">
        <f>IF(C6="--","N/A",200/((B10+2*B17+2)-SQRT((5*B10*B17)+4*B17^2)))</f>
        <v>N/A</v>
      </c>
      <c r="C18" s="5"/>
      <c r="D18" s="63" t="str">
        <f>IF(E6="--","N/A",200/((B10+2*D17+2)-SQRT((5*B10*D17)+4*D17^2)))</f>
        <v>N/A</v>
      </c>
      <c r="E18" s="5"/>
      <c r="F18" s="63" t="str">
        <f>IF(G6="--","N/A",200/((B10+2*F17+2)-SQRT((5*B10*F17)+4*F17^2)))</f>
        <v>N/A</v>
      </c>
      <c r="G18" s="5"/>
      <c r="H18" s="63" t="str">
        <f>IF(I6="--","N/A",200/((B10+2*H17+2)-SQRT((5*B10*H17)+4*H17^2)))</f>
        <v>N/A</v>
      </c>
      <c r="I18" s="5"/>
      <c r="J18" s="63" t="str">
        <f>IF(K6="--","N/A",200/((B10+2*J17+2)-SQRT((5*B10*J17)+4*J17^2)))</f>
        <v>N/A</v>
      </c>
      <c r="K18" s="5"/>
      <c r="R18" s="54"/>
      <c r="S18" s="54"/>
      <c r="T18" s="54"/>
      <c r="U18" s="60"/>
    </row>
    <row r="19" spans="1:21" x14ac:dyDescent="0.25">
      <c r="B19" s="62"/>
      <c r="D19" s="62"/>
      <c r="F19" s="62"/>
      <c r="H19" s="62"/>
      <c r="J19" s="62"/>
      <c r="R19" s="54"/>
      <c r="S19" s="54"/>
      <c r="T19" s="54"/>
      <c r="U19" s="60"/>
    </row>
    <row r="20" spans="1:21" ht="15.75" thickBot="1" x14ac:dyDescent="0.3">
      <c r="A20" s="59" t="s">
        <v>14</v>
      </c>
      <c r="B20" s="62"/>
      <c r="D20" s="62"/>
      <c r="F20" s="62"/>
      <c r="H20" s="62"/>
      <c r="J20" s="62"/>
      <c r="R20" s="54"/>
      <c r="S20" s="54"/>
      <c r="T20" s="54"/>
      <c r="U20" s="60"/>
    </row>
    <row r="21" spans="1:21" x14ac:dyDescent="0.25">
      <c r="A21" s="56" t="s">
        <v>166</v>
      </c>
      <c r="B21" s="67" t="str">
        <f>IF(C6="--","N/A",VLOOKUP(C6,'Data &amp; Documentation'!C1:R77,13,FALSE))</f>
        <v>N/A</v>
      </c>
      <c r="C21" s="6"/>
      <c r="D21" s="67" t="str">
        <f>IF(E6="--","N/A",VLOOKUP(E6,'Data &amp; Documentation'!C1:R77,13,FALSE))</f>
        <v>N/A</v>
      </c>
      <c r="E21" s="6"/>
      <c r="F21" s="67" t="str">
        <f>IF(G6="--","N/A",VLOOKUP(G6,'Data &amp; Documentation'!C1:R77,13,FALSE))</f>
        <v>N/A</v>
      </c>
      <c r="G21" s="6"/>
      <c r="H21" s="67" t="str">
        <f>IF(I6="--","N/A",VLOOKUP(I6,'Data &amp; Documentation'!C1:R77,13,FALSE))</f>
        <v>N/A</v>
      </c>
      <c r="I21" s="6"/>
      <c r="J21" s="67" t="str">
        <f>IF(K6="--","N/A",VLOOKUP(K6,'Data &amp; Documentation'!C1:R77,13,FALSE))</f>
        <v>N/A</v>
      </c>
      <c r="K21" s="6"/>
      <c r="R21" s="54"/>
      <c r="S21" s="54"/>
      <c r="T21" s="54"/>
      <c r="U21" s="60"/>
    </row>
    <row r="22" spans="1:21" x14ac:dyDescent="0.25">
      <c r="A22" s="57" t="s">
        <v>167</v>
      </c>
      <c r="B22" s="47" t="str">
        <f>IF(C6="--","N/A",B11*(1-B21))</f>
        <v>N/A</v>
      </c>
      <c r="C22" s="52"/>
      <c r="D22" s="47" t="str">
        <f>IF(E6="--","N/A",B27*(1-D21))</f>
        <v>N/A</v>
      </c>
      <c r="E22" s="52"/>
      <c r="F22" s="47" t="str">
        <f>IF(G6="--","N/A",D27*(1-F21))</f>
        <v>N/A</v>
      </c>
      <c r="G22" s="52"/>
      <c r="H22" s="47" t="str">
        <f>IF(I6="--","N/A",F27*(1-H21))</f>
        <v>N/A</v>
      </c>
      <c r="I22" s="52"/>
      <c r="J22" s="47" t="str">
        <f>IF(K6="--","N/A",H27*(1-J21))</f>
        <v>N/A</v>
      </c>
      <c r="K22" s="52"/>
      <c r="R22" s="54"/>
      <c r="S22" s="54"/>
      <c r="T22" s="54"/>
      <c r="U22" s="60"/>
    </row>
    <row r="23" spans="1:21" x14ac:dyDescent="0.25">
      <c r="A23" s="57" t="s">
        <v>168</v>
      </c>
      <c r="B23" s="49" t="str">
        <f>IF(C6="--","N/A",200/((B10+2*B22+2)-SQRT((5*B10*B22)+4*B22^2)))</f>
        <v>N/A</v>
      </c>
      <c r="C23" s="52"/>
      <c r="D23" s="49" t="str">
        <f>IF(E6="--","N/A",200/((B10+2*D22+2)-SQRT((5*B10*D22)+4*D22^2)))</f>
        <v>N/A</v>
      </c>
      <c r="E23" s="52"/>
      <c r="F23" s="49" t="str">
        <f>IF(G6="--","N/A",200/((B10+2*F22+2)-SQRT((5*B10*F22)+4*F22^2)))</f>
        <v>N/A</v>
      </c>
      <c r="G23" s="52"/>
      <c r="H23" s="49" t="str">
        <f>IF(I6="--","N/A",200/((B10+2*H22+2)-SQRT((5*B10*H22)+4*H22^2)))</f>
        <v>N/A</v>
      </c>
      <c r="I23" s="52"/>
      <c r="J23" s="49" t="str">
        <f>IF(K6="--","N/A",200/((B10+2*J22+2)-SQRT((5*B10*J22)+4*J22^2)))</f>
        <v>N/A</v>
      </c>
      <c r="K23" s="52"/>
      <c r="R23" s="54"/>
      <c r="S23" s="54"/>
      <c r="T23" s="54"/>
      <c r="U23" s="60"/>
    </row>
    <row r="24" spans="1:21" ht="15.75" thickBot="1" x14ac:dyDescent="0.3">
      <c r="A24" s="57" t="s">
        <v>412</v>
      </c>
      <c r="B24" s="63" t="str">
        <f>IF(C6="--","N/A",$B$11-($B$10-0.2*(1000/B23-10))^2/($B$10+0.8*(1000/B23-10)))</f>
        <v>N/A</v>
      </c>
      <c r="C24" s="58"/>
      <c r="D24" s="63" t="str">
        <f>IF(E6="--","N/A",$B$11-($B$10-0.2*(1000/D23-10))^2/($B$10+0.8*(1000/D23-10)))</f>
        <v>N/A</v>
      </c>
      <c r="E24" s="58"/>
      <c r="F24" s="63" t="str">
        <f>IF(G6="--","N/A",$B$11-($B$10-0.2*(1000/F23-10))^2/($B$10+0.8*(1000/F23-10)))</f>
        <v>N/A</v>
      </c>
      <c r="G24" s="58"/>
      <c r="H24" s="63" t="str">
        <f>IF(I6="--","N/A",$B$11-($B$10-0.2*(1000/H23-10))^2/($B$10+0.8*(1000/H23-10)))</f>
        <v>N/A</v>
      </c>
      <c r="I24" s="58"/>
      <c r="J24" s="63" t="str">
        <f>IF(K6="--","N/A",$B$11-($B$10-0.2*(1000/J23-10))^2/($B$10+0.8*(1000/J23-10)))</f>
        <v>N/A</v>
      </c>
      <c r="K24" s="53"/>
      <c r="R24" s="54"/>
      <c r="S24" s="54"/>
      <c r="T24" s="54"/>
      <c r="U24" s="60"/>
    </row>
    <row r="25" spans="1:21" x14ac:dyDescent="0.25">
      <c r="B25" s="62"/>
      <c r="D25" s="62"/>
      <c r="F25" s="62"/>
      <c r="H25" s="62"/>
      <c r="J25" s="62"/>
      <c r="R25" s="54"/>
      <c r="S25" s="54"/>
      <c r="T25" s="54"/>
      <c r="U25" s="60"/>
    </row>
    <row r="26" spans="1:21" ht="15.75" thickBot="1" x14ac:dyDescent="0.3">
      <c r="A26" s="3" t="s">
        <v>156</v>
      </c>
      <c r="B26" s="62"/>
      <c r="D26" s="62"/>
      <c r="F26" s="62"/>
      <c r="H26" s="62"/>
      <c r="J26" s="62"/>
      <c r="R26" s="54"/>
      <c r="S26" s="4"/>
      <c r="T26" s="4"/>
      <c r="U26" s="60"/>
    </row>
    <row r="27" spans="1:21" x14ac:dyDescent="0.25">
      <c r="A27" s="9" t="s">
        <v>157</v>
      </c>
      <c r="B27" s="65" t="str">
        <f>IF(C6="--","N/A",IF($B$11-B16-B24&lt;=0,0,$B$11-B16-B24))</f>
        <v>N/A</v>
      </c>
      <c r="C27" s="6"/>
      <c r="D27" s="65" t="str">
        <f>IF(E6="--","N/A",IF($B$11-D16-D24&lt;=0,0,$B$11-D16-D24))</f>
        <v>N/A</v>
      </c>
      <c r="E27" s="6"/>
      <c r="F27" s="65" t="str">
        <f>IF(G6="--","N/A",IF($B$11-F16-F24&lt;=0,0,$B$11-F16-F24))</f>
        <v>N/A</v>
      </c>
      <c r="G27" s="6"/>
      <c r="H27" s="65" t="str">
        <f>IF(I6="--","N/A",IF($B$11-H16-H24&lt;=0,0,$B$11-H16-H24))</f>
        <v>N/A</v>
      </c>
      <c r="I27" s="6"/>
      <c r="J27" s="65" t="str">
        <f>IF(K6="--","N/A",IF($B$11-J16-J24&lt;=0,0,$B$11-J16-J24))</f>
        <v>N/A</v>
      </c>
      <c r="K27" s="6"/>
      <c r="R27" s="54"/>
      <c r="S27" s="54"/>
      <c r="T27" s="54"/>
      <c r="U27" s="60"/>
    </row>
    <row r="28" spans="1:21" x14ac:dyDescent="0.25">
      <c r="A28" s="9" t="s">
        <v>158</v>
      </c>
      <c r="B28" s="68" t="str">
        <f>IF(C6="--","N/A",IF(B11=0,1,IF((B11-B27)/B11&lt;=0,0,(B11-B27)/B11)))</f>
        <v>N/A</v>
      </c>
      <c r="C28" s="12"/>
      <c r="D28" s="68" t="str">
        <f>IF(E6="--","N/A",IF(B11=0,1,IF((B11-D27)/B11&lt;=0,0,(B11-D27)/B11)))</f>
        <v>N/A</v>
      </c>
      <c r="E28" s="12"/>
      <c r="F28" s="68" t="str">
        <f>IF(G6="--","N/A",IF(B11=0,1,IF((B11-F27)/B11&lt;=0,0,(B11-F27)/B11)))</f>
        <v>N/A</v>
      </c>
      <c r="G28" s="12"/>
      <c r="H28" s="68" t="str">
        <f>IF(I6="--","N/A",IF(B11=0,1,IF((B11-H27)/B11&lt;=0,0,(B11-H27)/B11)))</f>
        <v>N/A</v>
      </c>
      <c r="I28" s="12"/>
      <c r="J28" s="68" t="str">
        <f>IF(K6="--","N/A",IF(B11=0,1,IF((B11-J27)/B11&lt;=0,0,(B11-J27)/B11)))</f>
        <v>N/A</v>
      </c>
      <c r="K28" s="52"/>
      <c r="R28" s="54"/>
      <c r="S28" s="54"/>
      <c r="T28" s="54"/>
      <c r="U28" s="60"/>
    </row>
    <row r="29" spans="1:21" ht="15.75" thickBot="1" x14ac:dyDescent="0.3">
      <c r="A29" s="9" t="s">
        <v>160</v>
      </c>
      <c r="B29" s="63" t="str">
        <f>IF(C6="--","N/A",200/((B10+2*B27+2)-SQRT((5*B10*B27)+4*B27^2)))</f>
        <v>N/A</v>
      </c>
      <c r="C29" s="5"/>
      <c r="D29" s="63" t="str">
        <f>IF(E6="--","N/A",200/((B10+2*D27+2)-SQRT((5*B10*D27)+4*D27^2)))</f>
        <v>N/A</v>
      </c>
      <c r="E29" s="5"/>
      <c r="F29" s="63" t="str">
        <f>IF(G6="--","N/A",200/((B10+2*F27+2)-SQRT((5*B10*F27)+4*F27^2)))</f>
        <v>N/A</v>
      </c>
      <c r="G29" s="5"/>
      <c r="H29" s="63" t="str">
        <f>IF(I6="--","N/A",200/((B10+2*H27+2)-SQRT((5*B10*H27)+4*H27^2)))</f>
        <v>N/A</v>
      </c>
      <c r="I29" s="5"/>
      <c r="J29" s="63" t="str">
        <f>IF(K6="--","N/A",200/((B10+2*J27+2)-SQRT((5*B10*J27)+4*J27^2)))</f>
        <v>N/A</v>
      </c>
      <c r="K29" s="5"/>
      <c r="R29" s="54"/>
      <c r="S29" s="4"/>
      <c r="T29" s="4"/>
      <c r="U29" s="60"/>
    </row>
    <row r="30" spans="1:21" x14ac:dyDescent="0.25">
      <c r="R30" s="54"/>
      <c r="S30" s="4"/>
      <c r="T30" s="4"/>
      <c r="U30" s="60"/>
    </row>
    <row r="31" spans="1:21" x14ac:dyDescent="0.25">
      <c r="R31" s="54"/>
      <c r="S31" s="54"/>
      <c r="T31" s="54"/>
      <c r="U31" s="60"/>
    </row>
    <row r="32" spans="1:21" x14ac:dyDescent="0.25">
      <c r="R32" s="54"/>
      <c r="S32" s="4"/>
      <c r="T32" s="4"/>
      <c r="U32" s="43"/>
    </row>
    <row r="33" spans="18:21" x14ac:dyDescent="0.25">
      <c r="R33" s="54"/>
      <c r="S33" s="4"/>
      <c r="T33" s="4"/>
      <c r="U33" s="43"/>
    </row>
    <row r="34" spans="18:21" x14ac:dyDescent="0.25">
      <c r="R34" s="54"/>
      <c r="S34" s="4"/>
      <c r="T34" s="4"/>
      <c r="U34" s="43"/>
    </row>
    <row r="35" spans="18:21" x14ac:dyDescent="0.25">
      <c r="R35" s="54"/>
      <c r="S35" s="4"/>
      <c r="T35" s="4"/>
      <c r="U35" s="43"/>
    </row>
    <row r="36" spans="18:21" x14ac:dyDescent="0.25">
      <c r="R36" s="54"/>
      <c r="S36" s="54"/>
      <c r="T36" s="54"/>
      <c r="U36" s="60"/>
    </row>
    <row r="37" spans="18:21" x14ac:dyDescent="0.25">
      <c r="R37" s="54"/>
      <c r="S37" s="4"/>
      <c r="T37" s="4"/>
      <c r="U37" s="54"/>
    </row>
    <row r="91" spans="3:6" x14ac:dyDescent="0.25">
      <c r="C91" s="194"/>
      <c r="D91" s="15"/>
      <c r="E91" s="90"/>
      <c r="F91" s="90"/>
    </row>
  </sheetData>
  <sheetProtection algorithmName="SHA-512" hashValue="Lfe+4Y2EqwDfcgZuKLe3Q7ERGNUqoCdXc0t0zzbUDHmH+KH7+jGudy7QfwtNvNLaFCBowwAm6yeEioKHrXCQmQ==" saltValue="kdGl/LcQ/6HBjbxqm5iI4Q==" spinCount="100000" sheet="1" objects="1" scenarios="1"/>
  <mergeCells count="8">
    <mergeCell ref="B1:K1"/>
    <mergeCell ref="B2:K2"/>
    <mergeCell ref="B5:C5"/>
    <mergeCell ref="D5:E5"/>
    <mergeCell ref="F5:G5"/>
    <mergeCell ref="H5:I5"/>
    <mergeCell ref="J5:K5"/>
    <mergeCell ref="B3:K3"/>
  </mergeCells>
  <pageMargins left="0.7" right="0.7" top="0.75" bottom="0.75" header="0.3" footer="0.3"/>
  <pageSetup paperSize="1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U91"/>
  <sheetViews>
    <sheetView zoomScale="90" zoomScaleNormal="90" workbookViewId="0">
      <selection activeCell="B8" sqref="B8"/>
    </sheetView>
  </sheetViews>
  <sheetFormatPr defaultRowHeight="15" x14ac:dyDescent="0.25"/>
  <cols>
    <col min="1" max="1" width="45.42578125" style="51" bestFit="1" customWidth="1"/>
    <col min="2" max="2" width="10.7109375" style="51" customWidth="1"/>
    <col min="3" max="3" width="20.7109375" style="51" customWidth="1"/>
    <col min="4" max="4" width="10.7109375" style="51" customWidth="1"/>
    <col min="5" max="5" width="20.7109375" style="51" customWidth="1"/>
    <col min="6" max="6" width="10.7109375" style="51" customWidth="1"/>
    <col min="7" max="7" width="20.7109375" style="51" customWidth="1"/>
    <col min="8" max="8" width="10.7109375" style="51" customWidth="1"/>
    <col min="9" max="9" width="20.7109375" style="51" customWidth="1"/>
    <col min="10" max="10" width="10.7109375" style="51" customWidth="1"/>
    <col min="11" max="11" width="20.7109375" style="51" customWidth="1"/>
    <col min="12" max="14" width="9.140625" style="51"/>
    <col min="15" max="16" width="0" style="51" hidden="1" customWidth="1"/>
    <col min="17" max="17" width="9.140625" style="51"/>
    <col min="18" max="18" width="17" style="51" bestFit="1" customWidth="1"/>
    <col min="19" max="19" width="29" style="51" bestFit="1" customWidth="1"/>
    <col min="20" max="20" width="12" style="51" bestFit="1" customWidth="1"/>
    <col min="21" max="21" width="14.140625" style="51" bestFit="1" customWidth="1"/>
    <col min="22" max="16384" width="9.140625" style="51"/>
  </cols>
  <sheetData>
    <row r="1" spans="1:21" ht="15.75" x14ac:dyDescent="0.25">
      <c r="A1" s="55" t="s">
        <v>4</v>
      </c>
      <c r="B1" s="508">
        <f>'C.A. RCN'!C1</f>
        <v>0</v>
      </c>
      <c r="C1" s="508"/>
      <c r="D1" s="508"/>
      <c r="E1" s="508"/>
      <c r="F1" s="508"/>
      <c r="G1" s="508"/>
      <c r="H1" s="508"/>
      <c r="I1" s="508"/>
      <c r="J1" s="508"/>
      <c r="K1" s="508"/>
    </row>
    <row r="2" spans="1:21" ht="15.75" x14ac:dyDescent="0.25">
      <c r="A2" s="55" t="s">
        <v>7</v>
      </c>
      <c r="B2" s="508">
        <f>'C.A. RCN'!C2</f>
        <v>0</v>
      </c>
      <c r="C2" s="508"/>
      <c r="D2" s="508"/>
      <c r="E2" s="508"/>
      <c r="F2" s="508"/>
      <c r="G2" s="508"/>
      <c r="H2" s="508"/>
      <c r="I2" s="508"/>
      <c r="J2" s="508"/>
      <c r="K2" s="508"/>
    </row>
    <row r="3" spans="1:21" ht="15.75" x14ac:dyDescent="0.25">
      <c r="A3" s="55" t="s">
        <v>205</v>
      </c>
      <c r="B3" s="508">
        <f>'C.A. RCN'!C3</f>
        <v>0</v>
      </c>
      <c r="C3" s="508"/>
      <c r="D3" s="508"/>
      <c r="E3" s="508"/>
      <c r="F3" s="508"/>
      <c r="G3" s="508"/>
      <c r="H3" s="508"/>
      <c r="I3" s="508"/>
      <c r="J3" s="508"/>
      <c r="K3" s="508"/>
    </row>
    <row r="4" spans="1:21" ht="16.5" thickBot="1" x14ac:dyDescent="0.3">
      <c r="A4" s="390" t="s">
        <v>296</v>
      </c>
    </row>
    <row r="5" spans="1:21" ht="21" customHeight="1" x14ac:dyDescent="0.25">
      <c r="A5" s="2"/>
      <c r="B5" s="509" t="s">
        <v>1</v>
      </c>
      <c r="C5" s="510"/>
      <c r="D5" s="509" t="s">
        <v>2</v>
      </c>
      <c r="E5" s="510"/>
      <c r="F5" s="509" t="s">
        <v>3</v>
      </c>
      <c r="G5" s="510"/>
      <c r="H5" s="509" t="s">
        <v>9</v>
      </c>
      <c r="I5" s="510"/>
      <c r="J5" s="511" t="s">
        <v>10</v>
      </c>
      <c r="K5" s="510"/>
    </row>
    <row r="6" spans="1:21" ht="30" customHeight="1" x14ac:dyDescent="0.25">
      <c r="A6" s="2"/>
      <c r="B6" s="8" t="s">
        <v>6</v>
      </c>
      <c r="C6" s="210" t="str">
        <f>RPv!C6</f>
        <v>--</v>
      </c>
      <c r="D6" s="8" t="s">
        <v>6</v>
      </c>
      <c r="E6" s="210" t="str">
        <f>RPv!E6</f>
        <v>--</v>
      </c>
      <c r="F6" s="8" t="s">
        <v>6</v>
      </c>
      <c r="G6" s="210" t="str">
        <f>RPv!G6</f>
        <v>--</v>
      </c>
      <c r="H6" s="8" t="s">
        <v>6</v>
      </c>
      <c r="I6" s="210" t="str">
        <f>RPv!I6</f>
        <v>--</v>
      </c>
      <c r="J6" s="27" t="s">
        <v>6</v>
      </c>
      <c r="K6" s="210" t="str">
        <f>RPv!K6</f>
        <v>--</v>
      </c>
      <c r="O6" s="34" t="s">
        <v>210</v>
      </c>
      <c r="P6" s="34" t="s">
        <v>170</v>
      </c>
      <c r="R6" s="54"/>
      <c r="S6" s="54"/>
      <c r="T6" s="54"/>
      <c r="U6" s="60"/>
    </row>
    <row r="7" spans="1:21" x14ac:dyDescent="0.25">
      <c r="A7" s="3" t="s">
        <v>312</v>
      </c>
      <c r="B7" s="10" t="s">
        <v>0</v>
      </c>
      <c r="C7" s="11"/>
      <c r="D7" s="10" t="s">
        <v>0</v>
      </c>
      <c r="E7" s="11"/>
      <c r="F7" s="10" t="s">
        <v>0</v>
      </c>
      <c r="G7" s="11"/>
      <c r="H7" s="10" t="s">
        <v>0</v>
      </c>
      <c r="I7" s="11"/>
      <c r="J7" s="28" t="s">
        <v>0</v>
      </c>
      <c r="K7" s="11"/>
      <c r="O7" s="51" t="s">
        <v>207</v>
      </c>
      <c r="P7" s="31">
        <v>8.9</v>
      </c>
      <c r="R7" s="54"/>
      <c r="S7" s="54"/>
      <c r="T7" s="54"/>
      <c r="U7" s="60"/>
    </row>
    <row r="8" spans="1:21" x14ac:dyDescent="0.25">
      <c r="A8" s="1" t="s">
        <v>154</v>
      </c>
      <c r="B8" s="47">
        <f>RPv!B8</f>
        <v>0</v>
      </c>
      <c r="C8" s="12"/>
      <c r="D8" s="69">
        <f>B8</f>
        <v>0</v>
      </c>
      <c r="E8" s="12"/>
      <c r="F8" s="47">
        <f>D8</f>
        <v>0</v>
      </c>
      <c r="G8" s="12"/>
      <c r="H8" s="47">
        <f>F8</f>
        <v>0</v>
      </c>
      <c r="I8" s="12"/>
      <c r="J8" s="73">
        <f>H8</f>
        <v>0</v>
      </c>
      <c r="K8" s="12"/>
      <c r="O8" s="51" t="s">
        <v>208</v>
      </c>
      <c r="P8" s="31">
        <v>8</v>
      </c>
      <c r="R8" s="54"/>
      <c r="S8" s="54"/>
      <c r="T8" s="54"/>
      <c r="U8" s="60"/>
    </row>
    <row r="9" spans="1:21" x14ac:dyDescent="0.25">
      <c r="A9" s="1" t="s">
        <v>299</v>
      </c>
      <c r="B9" s="47" t="e">
        <f>RPv!B9</f>
        <v>#DIV/0!</v>
      </c>
      <c r="C9" s="12"/>
      <c r="D9" s="70"/>
      <c r="E9" s="12"/>
      <c r="F9" s="70"/>
      <c r="G9" s="12"/>
      <c r="H9" s="70"/>
      <c r="I9" s="12"/>
      <c r="J9" s="74"/>
      <c r="K9" s="12"/>
      <c r="O9" s="51" t="s">
        <v>209</v>
      </c>
      <c r="P9" s="31">
        <v>9.1999999999999993</v>
      </c>
      <c r="R9" s="54"/>
      <c r="S9" s="54"/>
      <c r="T9" s="54"/>
      <c r="U9" s="60"/>
    </row>
    <row r="10" spans="1:21" x14ac:dyDescent="0.25">
      <c r="A10" s="56" t="s">
        <v>494</v>
      </c>
      <c r="B10" s="48" t="e">
        <f>VLOOKUP(B3,O7:P9,2)</f>
        <v>#N/A</v>
      </c>
      <c r="C10" s="12"/>
      <c r="D10" s="71"/>
      <c r="E10" s="52"/>
      <c r="F10" s="71"/>
      <c r="G10" s="52"/>
      <c r="H10" s="71"/>
      <c r="I10" s="52"/>
      <c r="J10" s="75"/>
      <c r="K10" s="52"/>
      <c r="R10" s="54"/>
      <c r="S10" s="4"/>
      <c r="T10" s="4"/>
      <c r="U10" s="60"/>
    </row>
    <row r="11" spans="1:21" ht="15" customHeight="1" thickBot="1" x14ac:dyDescent="0.3">
      <c r="A11" s="46" t="s">
        <v>307</v>
      </c>
      <c r="B11" s="63" t="e">
        <f>IF(B10=0,"XXXXXXXX",(B10-0.2*((1000/B9)-10))^2/(B10+0.8*((1000/B9)-10)))</f>
        <v>#N/A</v>
      </c>
      <c r="C11" s="53"/>
      <c r="D11" s="392"/>
      <c r="E11" s="5"/>
      <c r="F11" s="392"/>
      <c r="G11" s="5"/>
      <c r="H11" s="392"/>
      <c r="I11" s="5"/>
      <c r="J11" s="391"/>
      <c r="K11" s="5"/>
      <c r="R11" s="54"/>
      <c r="S11" s="54"/>
      <c r="T11" s="54"/>
      <c r="U11" s="60"/>
    </row>
    <row r="12" spans="1:21" x14ac:dyDescent="0.25">
      <c r="A12" s="56"/>
      <c r="B12" s="64"/>
      <c r="C12" s="4"/>
      <c r="D12" s="64"/>
      <c r="E12" s="4"/>
      <c r="F12" s="64"/>
      <c r="G12" s="4"/>
      <c r="H12" s="64"/>
      <c r="I12" s="4"/>
      <c r="J12" s="64"/>
      <c r="K12" s="4"/>
      <c r="R12" s="54"/>
      <c r="S12" s="4"/>
      <c r="T12" s="4"/>
      <c r="U12" s="60"/>
    </row>
    <row r="13" spans="1:21" ht="15.75" thickBot="1" x14ac:dyDescent="0.3">
      <c r="A13" s="3" t="s">
        <v>15</v>
      </c>
      <c r="B13" s="64"/>
      <c r="C13" s="4"/>
      <c r="D13" s="64"/>
      <c r="E13" s="4"/>
      <c r="F13" s="64"/>
      <c r="G13" s="4"/>
      <c r="H13" s="64"/>
      <c r="I13" s="4"/>
      <c r="J13" s="64"/>
      <c r="K13" s="4"/>
      <c r="R13" s="54"/>
      <c r="S13" s="4"/>
      <c r="T13" s="4"/>
      <c r="U13" s="60"/>
    </row>
    <row r="14" spans="1:21" x14ac:dyDescent="0.25">
      <c r="A14" s="1" t="s">
        <v>12</v>
      </c>
      <c r="B14" s="65" t="str">
        <f>IF(C6="--","N/A",IF(RPv!B16=0,0,RPv!B15))</f>
        <v>N/A</v>
      </c>
      <c r="C14" s="6"/>
      <c r="D14" s="65" t="str">
        <f>IF(E6="--","N/A",IF(RPv!D16=0,0,RPv!D15))</f>
        <v>N/A</v>
      </c>
      <c r="E14" s="6"/>
      <c r="F14" s="65" t="str">
        <f>IF(G6="--","N/A",IF(RPv!F16=0, 0,RPv!F15))</f>
        <v>N/A</v>
      </c>
      <c r="G14" s="6"/>
      <c r="H14" s="65" t="str">
        <f>IF(I6="--","N/A",IF(RPv!H16=0, 0,RPv!H15))</f>
        <v>N/A</v>
      </c>
      <c r="I14" s="6"/>
      <c r="J14" s="65" t="str">
        <f>IF(K6="--","N/A",IF(RPv!J16=0, 0,RPv!J15))</f>
        <v>N/A</v>
      </c>
      <c r="K14" s="6"/>
      <c r="R14" s="54"/>
      <c r="S14" s="4"/>
      <c r="T14" s="4"/>
      <c r="U14" s="60"/>
    </row>
    <row r="15" spans="1:21" x14ac:dyDescent="0.25">
      <c r="A15" s="1" t="s">
        <v>262</v>
      </c>
      <c r="B15" s="66" t="str">
        <f>IF(C6="--","N/A",B14/43560)</f>
        <v>N/A</v>
      </c>
      <c r="C15" s="52"/>
      <c r="D15" s="66" t="str">
        <f>IF(E6="--","N/A",D14/43560)</f>
        <v>N/A</v>
      </c>
      <c r="E15" s="52"/>
      <c r="F15" s="66" t="str">
        <f>IF(G6="--","N/A",F14/43560)</f>
        <v>N/A</v>
      </c>
      <c r="G15" s="52"/>
      <c r="H15" s="66" t="str">
        <f>IF(I6="--","N/A",17/43560)</f>
        <v>N/A</v>
      </c>
      <c r="I15" s="52"/>
      <c r="J15" s="66" t="str">
        <f>IF(K6="--","N/A",J14/43560)</f>
        <v>N/A</v>
      </c>
      <c r="K15" s="52"/>
      <c r="R15" s="54"/>
      <c r="S15" s="54"/>
      <c r="T15" s="54"/>
      <c r="U15" s="60"/>
    </row>
    <row r="16" spans="1:21" x14ac:dyDescent="0.25">
      <c r="A16" s="9" t="s">
        <v>264</v>
      </c>
      <c r="B16" s="47" t="str">
        <f>IF(C6="--","N/A",(B15*12)/B8)</f>
        <v>N/A</v>
      </c>
      <c r="C16" s="52"/>
      <c r="D16" s="47" t="str">
        <f>IF(E6="--","N/A",(D15*12)/D8)</f>
        <v>N/A</v>
      </c>
      <c r="E16" s="52"/>
      <c r="F16" s="47" t="str">
        <f>IF(G6="--","N/A",(F15*12)/F8)</f>
        <v>N/A</v>
      </c>
      <c r="G16" s="52"/>
      <c r="H16" s="47" t="str">
        <f>IF(I6="--","N/A",(H15*12)/H8)</f>
        <v>N/A</v>
      </c>
      <c r="I16" s="52"/>
      <c r="J16" s="47" t="str">
        <f>IF(K6="--","N/A",(J15*12)/J8)</f>
        <v>N/A</v>
      </c>
      <c r="K16" s="52"/>
      <c r="R16" s="54"/>
      <c r="S16" s="54"/>
      <c r="T16" s="54"/>
      <c r="U16" s="60"/>
    </row>
    <row r="17" spans="1:21" x14ac:dyDescent="0.25">
      <c r="A17" s="9" t="s">
        <v>265</v>
      </c>
      <c r="B17" s="49" t="str">
        <f>IF(C6="--","N/A",IF(B11-B16&lt;=0,0,B11-B16))</f>
        <v>N/A</v>
      </c>
      <c r="C17" s="52"/>
      <c r="D17" s="49" t="str">
        <f>IF(E6="--","N/A",IF(B27-D16&lt;=0,0,B27-D16))</f>
        <v>N/A</v>
      </c>
      <c r="E17" s="52"/>
      <c r="F17" s="49" t="str">
        <f>IF(G6="--","N/A",IF(D27-F16&lt;=0,0,D27-F16))</f>
        <v>N/A</v>
      </c>
      <c r="G17" s="52"/>
      <c r="H17" s="49" t="str">
        <f>IF(I6="--","N/A",IF(F27-H16&lt;=0,0,F27-H16))</f>
        <v>N/A</v>
      </c>
      <c r="I17" s="52"/>
      <c r="J17" s="49" t="str">
        <f>IF(K6="--","N/A",IF(H27-J16&lt;=0,0,H27-J16))</f>
        <v>N/A</v>
      </c>
      <c r="K17" s="52"/>
      <c r="R17" s="54"/>
      <c r="S17" s="54"/>
      <c r="T17" s="54"/>
      <c r="U17" s="60"/>
    </row>
    <row r="18" spans="1:21" ht="15.75" thickBot="1" x14ac:dyDescent="0.3">
      <c r="A18" s="9" t="s">
        <v>263</v>
      </c>
      <c r="B18" s="63" t="str">
        <f>IF(C6="--","N/A",200/((B10+2*B17+2)-SQRT((5*B10*B17)+4*B17^2)))</f>
        <v>N/A</v>
      </c>
      <c r="C18" s="5"/>
      <c r="D18" s="63" t="str">
        <f>IF(E6="--","N/A",200/((B10+2*D17+2)-SQRT((5*B10*D17)+4*D17^2)))</f>
        <v>N/A</v>
      </c>
      <c r="E18" s="5"/>
      <c r="F18" s="63" t="str">
        <f>IF(G6="--","N/A",200/((B10+2*F17+2)-SQRT((5*B10*F17)+4*F17^2)))</f>
        <v>N/A</v>
      </c>
      <c r="G18" s="5"/>
      <c r="H18" s="63" t="str">
        <f>IF(I6="--","N/A",200/((B10+2*H17+2)-SQRT((5*B10*H17)+4*H17^2)))</f>
        <v>N/A</v>
      </c>
      <c r="I18" s="5"/>
      <c r="J18" s="63" t="str">
        <f>IF(K6="--","N/A",200/((B10+2*J17+2)-SQRT((5*B10*J17)+4*J17^2)))</f>
        <v>N/A</v>
      </c>
      <c r="K18" s="5"/>
      <c r="R18" s="54"/>
      <c r="S18" s="54"/>
      <c r="T18" s="54"/>
      <c r="U18" s="60"/>
    </row>
    <row r="19" spans="1:21" x14ac:dyDescent="0.25">
      <c r="B19" s="62"/>
      <c r="D19" s="62"/>
      <c r="F19" s="62"/>
      <c r="H19" s="62"/>
      <c r="J19" s="62"/>
      <c r="R19" s="54"/>
      <c r="S19" s="54"/>
      <c r="T19" s="54"/>
      <c r="U19" s="60"/>
    </row>
    <row r="20" spans="1:21" ht="15.75" thickBot="1" x14ac:dyDescent="0.3">
      <c r="A20" s="59" t="s">
        <v>14</v>
      </c>
      <c r="B20" s="62"/>
      <c r="D20" s="62"/>
      <c r="F20" s="62"/>
      <c r="H20" s="62"/>
      <c r="J20" s="62"/>
      <c r="R20" s="54"/>
      <c r="S20" s="54"/>
      <c r="T20" s="54"/>
      <c r="U20" s="60"/>
    </row>
    <row r="21" spans="1:21" x14ac:dyDescent="0.25">
      <c r="A21" s="56" t="s">
        <v>166</v>
      </c>
      <c r="B21" s="67" t="str">
        <f>IF(C6="--","N/A",VLOOKUP(C6,'Data &amp; Documentation'!C1:R77,15,FALSE))</f>
        <v>N/A</v>
      </c>
      <c r="C21" s="6"/>
      <c r="D21" s="67" t="str">
        <f>IF(E6="--","N/A",VLOOKUP(E6,'Data &amp; Documentation'!C1:R77,15,FALSE))</f>
        <v>N/A</v>
      </c>
      <c r="E21" s="6"/>
      <c r="F21" s="67" t="str">
        <f>IF(G6="--","N/A",VLOOKUP(G6,'Data &amp; Documentation'!C1:R77,15,FALSE))</f>
        <v>N/A</v>
      </c>
      <c r="G21" s="6"/>
      <c r="H21" s="67" t="str">
        <f>IF(I6="--","N/A",VLOOKUP(I6,'Data &amp; Documentation'!C1:R77,15,FALSE))</f>
        <v>N/A</v>
      </c>
      <c r="I21" s="6"/>
      <c r="J21" s="67" t="str">
        <f>IF(K6="--","N/A",VLOOKUP(K6,'Data &amp; Documentation'!C1:R77,15,FALSE))</f>
        <v>N/A</v>
      </c>
      <c r="K21" s="6"/>
      <c r="R21" s="54"/>
      <c r="S21" s="54"/>
      <c r="T21" s="54"/>
      <c r="U21" s="60"/>
    </row>
    <row r="22" spans="1:21" x14ac:dyDescent="0.25">
      <c r="A22" s="57" t="s">
        <v>167</v>
      </c>
      <c r="B22" s="47" t="str">
        <f>IF(C6="--","N/A",B11*(1-B21))</f>
        <v>N/A</v>
      </c>
      <c r="C22" s="52"/>
      <c r="D22" s="47" t="str">
        <f>IF(E6="--","N/A",B27*(1-D21))</f>
        <v>N/A</v>
      </c>
      <c r="E22" s="52"/>
      <c r="F22" s="47" t="str">
        <f>IF(G6="--","N/A",D27*(1-F21))</f>
        <v>N/A</v>
      </c>
      <c r="G22" s="52"/>
      <c r="H22" s="47" t="str">
        <f>IF(I6="--","N/A",F27*(1-H21))</f>
        <v>N/A</v>
      </c>
      <c r="I22" s="52"/>
      <c r="J22" s="47" t="str">
        <f>IF(K6="--","N/A",H27*(1-J21))</f>
        <v>N/A</v>
      </c>
      <c r="K22" s="52"/>
      <c r="R22" s="54"/>
      <c r="S22" s="54"/>
      <c r="T22" s="54"/>
      <c r="U22" s="60"/>
    </row>
    <row r="23" spans="1:21" x14ac:dyDescent="0.25">
      <c r="A23" s="57" t="s">
        <v>168</v>
      </c>
      <c r="B23" s="49" t="str">
        <f>IF(C6="--","N/A",200/((B10+2*B22+2)-SQRT((5*B10*B22)+4*B22^2)))</f>
        <v>N/A</v>
      </c>
      <c r="C23" s="52"/>
      <c r="D23" s="49" t="str">
        <f>IF(E6="--","N/A",200/((B10+2*D22+2)-SQRT((5*B10*D22)+4*D22^2)))</f>
        <v>N/A</v>
      </c>
      <c r="E23" s="52"/>
      <c r="F23" s="49" t="str">
        <f>IF(G6="--","N/A",200/((B10+2*F22+2)-SQRT((5*B10*F22)+4*F22^2)))</f>
        <v>N/A</v>
      </c>
      <c r="G23" s="52"/>
      <c r="H23" s="49" t="str">
        <f>IF(I6="--","N/A",200/((B10+2*H22+2)-SQRT((5*B10*H22)+4*H22^2)))</f>
        <v>N/A</v>
      </c>
      <c r="I23" s="52"/>
      <c r="J23" s="49" t="str">
        <f>IF(K6="--","N/A",200/((B10+2*J22+2)-SQRT((5*B10*J22)+4*J22^2)))</f>
        <v>N/A</v>
      </c>
      <c r="K23" s="52"/>
      <c r="R23" s="54"/>
      <c r="S23" s="54"/>
      <c r="T23" s="54"/>
      <c r="U23" s="60"/>
    </row>
    <row r="24" spans="1:21" ht="15.75" thickBot="1" x14ac:dyDescent="0.3">
      <c r="A24" s="57" t="s">
        <v>412</v>
      </c>
      <c r="B24" s="63" t="str">
        <f>IF(C6="--","N/A",$B$11-($B$10-0.2*(1000/B23-10))^2/($B$10+0.8*(1000/B23-10)))</f>
        <v>N/A</v>
      </c>
      <c r="C24" s="53"/>
      <c r="D24" s="72" t="str">
        <f>IF(E6="--","N/A",$B$11-($B$10-0.2*(1000/D23-10))^2/($B$10+0.8*(1000/D23-10)))</f>
        <v>N/A</v>
      </c>
      <c r="E24" s="53"/>
      <c r="F24" s="72" t="str">
        <f>IF(G6="--","N/A",$B$11-($B$10-0.2*(1000/F23-10))^2/($B$10+0.8*(1000/F23-10)))</f>
        <v>N/A</v>
      </c>
      <c r="G24" s="53"/>
      <c r="H24" s="72" t="str">
        <f>IF(I6="--","N/A",$B$11-($B$10-0.2*(1000/H23-10))^2/($B$10+0.8*(1000/H23-10)))</f>
        <v>N/A</v>
      </c>
      <c r="I24" s="53"/>
      <c r="J24" s="72" t="str">
        <f>IF(K6="--","N/A",$B$11-($B$10-0.2*(1000/J23-10))^2/($B$10+0.8*(1000/J23-10)))</f>
        <v>N/A</v>
      </c>
      <c r="K24" s="53"/>
      <c r="R24" s="54"/>
      <c r="S24" s="54"/>
      <c r="T24" s="54"/>
      <c r="U24" s="60"/>
    </row>
    <row r="25" spans="1:21" x14ac:dyDescent="0.25">
      <c r="B25" s="62"/>
      <c r="D25" s="62"/>
      <c r="F25" s="62"/>
      <c r="H25" s="62"/>
      <c r="J25" s="62"/>
      <c r="R25" s="54"/>
      <c r="S25" s="54"/>
      <c r="T25" s="54"/>
      <c r="U25" s="60"/>
    </row>
    <row r="26" spans="1:21" ht="15.75" thickBot="1" x14ac:dyDescent="0.3">
      <c r="A26" s="3" t="s">
        <v>313</v>
      </c>
      <c r="B26" s="62"/>
      <c r="D26" s="62"/>
      <c r="F26" s="62"/>
      <c r="H26" s="62"/>
      <c r="J26" s="62"/>
      <c r="R26" s="54"/>
      <c r="S26" s="4"/>
      <c r="T26" s="4"/>
      <c r="U26" s="60"/>
    </row>
    <row r="27" spans="1:21" x14ac:dyDescent="0.25">
      <c r="A27" s="9" t="s">
        <v>314</v>
      </c>
      <c r="B27" s="65" t="str">
        <f>IF(C6="--","N/A",IF($B$11-B16-B24&lt;=0,0,$B$11-B16-B24))</f>
        <v>N/A</v>
      </c>
      <c r="C27" s="6"/>
      <c r="D27" s="65" t="str">
        <f>IF(E6="--","N/A",IF($B$11-D16-D24&lt;=0,0,$B$11-D16-D24))</f>
        <v>N/A</v>
      </c>
      <c r="E27" s="6"/>
      <c r="F27" s="65" t="str">
        <f>IF(G6="--","N/A",IF($B$11-F16-F24&lt;=0,0,$B$11-F16-F24))</f>
        <v>N/A</v>
      </c>
      <c r="G27" s="6"/>
      <c r="H27" s="65" t="str">
        <f>IF(I6="--","N/A",IF($B$11-H16-H24&lt;=0,0,$B$11-H16-H24))</f>
        <v>N/A</v>
      </c>
      <c r="I27" s="6"/>
      <c r="J27" s="65" t="str">
        <f>IF(K6="--","N/A",IF($B$11-J16-J24&lt;=0,0,$B$11-J16-J24))</f>
        <v>N/A</v>
      </c>
      <c r="K27" s="6"/>
      <c r="R27" s="54"/>
      <c r="S27" s="54"/>
      <c r="T27" s="54"/>
      <c r="U27" s="60"/>
    </row>
    <row r="28" spans="1:21" x14ac:dyDescent="0.25">
      <c r="A28" s="9" t="s">
        <v>315</v>
      </c>
      <c r="B28" s="68" t="str">
        <f>IF(C6="--","N/A",IF(B11=0,1,IF((B11-B27)/B11&lt;=0,0,(B11-B27)/B11)))</f>
        <v>N/A</v>
      </c>
      <c r="C28" s="12"/>
      <c r="D28" s="68" t="str">
        <f>IF(E6="--","N/A",IF(B11=0,1,IF((B11-D27)/B11&lt;=0,0,(B11-D27)/B11)))</f>
        <v>N/A</v>
      </c>
      <c r="E28" s="12"/>
      <c r="F28" s="68" t="str">
        <f>IF(G6="--","N/A",IF(B11=0,1,IF((B11-F27)/B11&lt;=0,0,(B11-F27)/B11)))</f>
        <v>N/A</v>
      </c>
      <c r="G28" s="12"/>
      <c r="H28" s="68" t="str">
        <f>IF(I6="--","N/A",IF(B11=0,1,IF((B11-H27)/B11&lt;=0,0,(B11-H27)/B11)))</f>
        <v>N/A</v>
      </c>
      <c r="I28" s="12"/>
      <c r="J28" s="68" t="str">
        <f>IF(K6="--","N/A",IF(B11=0,1,IF((B11-J27)/B11&lt;=0,0,(B11-J27)/B11)))</f>
        <v>N/A</v>
      </c>
      <c r="K28" s="52"/>
      <c r="R28" s="54"/>
      <c r="S28" s="54"/>
      <c r="T28" s="54"/>
      <c r="U28" s="60"/>
    </row>
    <row r="29" spans="1:21" ht="15.75" thickBot="1" x14ac:dyDescent="0.3">
      <c r="A29" s="9" t="s">
        <v>160</v>
      </c>
      <c r="B29" s="63" t="str">
        <f>IF(C6="--","N/A",200/((B10+2*B27+2)-SQRT((5*B10*B27)+4*B27^2)))</f>
        <v>N/A</v>
      </c>
      <c r="C29" s="5"/>
      <c r="D29" s="63" t="str">
        <f>IF(E6="--","N/A",200/((B10+2*D27+2)-SQRT((5*B10*D27)+4*D27^2)))</f>
        <v>N/A</v>
      </c>
      <c r="E29" s="5"/>
      <c r="F29" s="63" t="str">
        <f>IF(G6="--","N/A",200/((B10+2*F27+2)-SQRT((5*B10*F27)+4*F27^2)))</f>
        <v>N/A</v>
      </c>
      <c r="G29" s="5"/>
      <c r="H29" s="63" t="str">
        <f>IF(I6="--","N/A",200/((B10+2*H27+2)-SQRT((5*B10*H27)+4*H27^2)))</f>
        <v>N/A</v>
      </c>
      <c r="I29" s="5"/>
      <c r="J29" s="63" t="str">
        <f>IF(K6="--","N/A",200/((B10+2*J27+2)-SQRT((5*B10*J27)+4*J27^2)))</f>
        <v>N/A</v>
      </c>
      <c r="K29" s="5"/>
      <c r="R29" s="54"/>
      <c r="S29" s="4"/>
      <c r="T29" s="4"/>
      <c r="U29" s="60"/>
    </row>
    <row r="30" spans="1:21" x14ac:dyDescent="0.25">
      <c r="R30" s="54"/>
      <c r="S30" s="4"/>
      <c r="T30" s="4"/>
      <c r="U30" s="60"/>
    </row>
    <row r="31" spans="1:21" x14ac:dyDescent="0.25">
      <c r="R31" s="54"/>
      <c r="S31" s="54"/>
      <c r="T31" s="54"/>
      <c r="U31" s="60"/>
    </row>
    <row r="32" spans="1:21" x14ac:dyDescent="0.25">
      <c r="R32" s="54"/>
      <c r="S32" s="4"/>
      <c r="T32" s="4"/>
      <c r="U32" s="43"/>
    </row>
    <row r="33" spans="18:21" x14ac:dyDescent="0.25">
      <c r="R33" s="54"/>
      <c r="S33" s="4"/>
      <c r="T33" s="4"/>
      <c r="U33" s="43"/>
    </row>
    <row r="34" spans="18:21" x14ac:dyDescent="0.25">
      <c r="R34" s="54"/>
      <c r="S34" s="4"/>
      <c r="T34" s="4"/>
      <c r="U34" s="43"/>
    </row>
    <row r="35" spans="18:21" x14ac:dyDescent="0.25">
      <c r="R35" s="54"/>
      <c r="S35" s="4"/>
      <c r="T35" s="4"/>
      <c r="U35" s="43"/>
    </row>
    <row r="36" spans="18:21" x14ac:dyDescent="0.25">
      <c r="R36" s="54"/>
      <c r="S36" s="54"/>
      <c r="T36" s="54"/>
      <c r="U36" s="60"/>
    </row>
    <row r="37" spans="18:21" x14ac:dyDescent="0.25">
      <c r="R37" s="54"/>
      <c r="S37" s="4"/>
      <c r="T37" s="4"/>
      <c r="U37" s="54"/>
    </row>
    <row r="91" spans="3:6" x14ac:dyDescent="0.25">
      <c r="C91" s="194"/>
      <c r="D91" s="15"/>
      <c r="E91" s="90"/>
      <c r="F91" s="90"/>
    </row>
  </sheetData>
  <sheetProtection algorithmName="SHA-512" hashValue="dV+9Lz//C4ewtJLUYowtJIs/fBm2RTWTeGVgkJ/turadK/IGf9jhmVSWprvDmRwohMSo1aAsmE+9fT5WPnSnPg==" saltValue="0RGhzxDxCp2GTDJV5raZLg==" spinCount="100000" sheet="1" objects="1" scenarios="1"/>
  <mergeCells count="8">
    <mergeCell ref="B1:K1"/>
    <mergeCell ref="B2:K2"/>
    <mergeCell ref="B5:C5"/>
    <mergeCell ref="D5:E5"/>
    <mergeCell ref="F5:G5"/>
    <mergeCell ref="H5:I5"/>
    <mergeCell ref="J5:K5"/>
    <mergeCell ref="B3:K3"/>
  </mergeCells>
  <pageMargins left="0.7" right="0.7" top="0.75" bottom="0.75" header="0.3" footer="0.3"/>
  <pageSetup paperSize="17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K94"/>
  <sheetViews>
    <sheetView zoomScale="78" zoomScaleNormal="78" workbookViewId="0">
      <pane ySplit="5" topLeftCell="A6" activePane="bottomLeft" state="frozen"/>
      <selection activeCell="A135" sqref="A135"/>
      <selection pane="bottomLeft" activeCell="A105" sqref="A105"/>
    </sheetView>
  </sheetViews>
  <sheetFormatPr defaultRowHeight="15" x14ac:dyDescent="0.25"/>
  <cols>
    <col min="1" max="1" width="50" style="51" customWidth="1"/>
    <col min="2" max="5" width="12.7109375" style="51" customWidth="1"/>
    <col min="6" max="6" width="15" style="51" customWidth="1"/>
    <col min="7" max="16384" width="9.140625" style="51"/>
  </cols>
  <sheetData>
    <row r="1" spans="1:11" ht="15.75" x14ac:dyDescent="0.25">
      <c r="A1" s="55" t="s">
        <v>4</v>
      </c>
      <c r="B1" s="516">
        <f>'C.A. RCN'!C1</f>
        <v>0</v>
      </c>
      <c r="C1" s="516"/>
      <c r="D1" s="516"/>
      <c r="E1" s="516"/>
      <c r="F1" s="516"/>
      <c r="G1" s="44"/>
      <c r="H1" s="44"/>
      <c r="I1" s="44"/>
      <c r="J1" s="44"/>
      <c r="K1" s="44"/>
    </row>
    <row r="2" spans="1:11" ht="15.75" x14ac:dyDescent="0.25">
      <c r="A2" s="55" t="s">
        <v>7</v>
      </c>
      <c r="B2" s="516">
        <f>'C.A. RCN'!C2</f>
        <v>0</v>
      </c>
      <c r="C2" s="516"/>
      <c r="D2" s="516"/>
      <c r="E2" s="516"/>
      <c r="F2" s="516"/>
      <c r="G2" s="44"/>
      <c r="H2" s="44"/>
      <c r="I2" s="44"/>
      <c r="J2" s="44"/>
      <c r="K2" s="44"/>
    </row>
    <row r="3" spans="1:11" ht="15.75" x14ac:dyDescent="0.25">
      <c r="A3" s="55" t="s">
        <v>407</v>
      </c>
      <c r="B3" s="520">
        <f>'C.A. RCN'!C3</f>
        <v>0</v>
      </c>
      <c r="C3" s="521"/>
      <c r="D3" s="522" t="s">
        <v>211</v>
      </c>
      <c r="E3" s="523"/>
      <c r="F3" s="211">
        <f>'C.A. RCN'!C4</f>
        <v>0</v>
      </c>
      <c r="G3" s="44"/>
      <c r="H3" s="44"/>
      <c r="I3" s="44"/>
      <c r="J3" s="44"/>
      <c r="K3" s="44"/>
    </row>
    <row r="4" spans="1:11" ht="15.75" x14ac:dyDescent="0.25">
      <c r="A4" s="55" t="s">
        <v>215</v>
      </c>
      <c r="B4" s="520">
        <f>TMDL!B3</f>
        <v>0</v>
      </c>
      <c r="C4" s="524"/>
      <c r="D4" s="442" t="s">
        <v>616</v>
      </c>
      <c r="E4" s="525" t="s">
        <v>618</v>
      </c>
      <c r="F4" s="526"/>
      <c r="G4" s="44"/>
      <c r="H4" s="44"/>
      <c r="I4" s="44"/>
      <c r="J4" s="44"/>
      <c r="K4" s="44"/>
    </row>
    <row r="5" spans="1:11" ht="16.5" thickBot="1" x14ac:dyDescent="0.3">
      <c r="A5" s="390" t="s">
        <v>298</v>
      </c>
      <c r="B5" s="324"/>
      <c r="C5" s="324"/>
      <c r="D5" s="324"/>
      <c r="E5" s="326"/>
      <c r="F5" s="366"/>
      <c r="G5" s="209"/>
    </row>
    <row r="6" spans="1:11" x14ac:dyDescent="0.25">
      <c r="A6" s="59" t="s">
        <v>164</v>
      </c>
      <c r="B6" s="209"/>
      <c r="C6" s="209"/>
      <c r="D6" s="209"/>
      <c r="G6" s="325"/>
      <c r="H6" s="189"/>
    </row>
    <row r="7" spans="1:11" x14ac:dyDescent="0.25">
      <c r="A7" s="56" t="s">
        <v>378</v>
      </c>
      <c r="B7" s="321">
        <f>'C.A. RCN'!K100</f>
        <v>0</v>
      </c>
      <c r="C7" s="320"/>
      <c r="D7" s="320"/>
      <c r="E7" s="320"/>
      <c r="F7" s="320"/>
      <c r="G7" s="42"/>
    </row>
    <row r="8" spans="1:11" x14ac:dyDescent="0.25">
      <c r="A8" s="56" t="s">
        <v>165</v>
      </c>
      <c r="B8" s="321">
        <f>'C.A. RCN'!K102</f>
        <v>0</v>
      </c>
      <c r="C8" s="320"/>
      <c r="D8" s="320"/>
      <c r="E8" s="320"/>
      <c r="F8" s="320"/>
      <c r="G8" s="42"/>
    </row>
    <row r="9" spans="1:11" x14ac:dyDescent="0.25">
      <c r="A9" s="56" t="s">
        <v>377</v>
      </c>
      <c r="B9" s="321">
        <f>LOD!B19</f>
        <v>0</v>
      </c>
      <c r="C9" s="320"/>
      <c r="D9" s="320"/>
      <c r="E9" s="320"/>
      <c r="F9" s="320"/>
      <c r="G9" s="42"/>
    </row>
    <row r="10" spans="1:11" x14ac:dyDescent="0.25">
      <c r="A10" s="56" t="s">
        <v>381</v>
      </c>
      <c r="B10" s="321">
        <f>LOD!B20</f>
        <v>0</v>
      </c>
      <c r="C10" s="320"/>
      <c r="D10" s="320"/>
      <c r="E10" s="320"/>
      <c r="F10" s="320"/>
      <c r="G10" s="42"/>
    </row>
    <row r="11" spans="1:11" x14ac:dyDescent="0.25">
      <c r="A11" s="56" t="s">
        <v>379</v>
      </c>
      <c r="B11" s="323" t="str">
        <f>IF(LOD!B25=" ","N/A",LOD!B25)</f>
        <v>N/A</v>
      </c>
      <c r="C11" s="323" t="str">
        <f>IF(LOD!C25=" ","N/A",LOD!C25)</f>
        <v>N/A</v>
      </c>
      <c r="D11" s="323" t="str">
        <f>IF(LOD!D25=" ","N/A",LOD!D25)</f>
        <v>N/A</v>
      </c>
      <c r="E11" s="323" t="str">
        <f>IF(LOD!E25=" ","N/A",LOD!E25)</f>
        <v>N/A</v>
      </c>
      <c r="F11" s="320"/>
      <c r="G11" s="42"/>
    </row>
    <row r="12" spans="1:11" x14ac:dyDescent="0.25">
      <c r="A12" s="56" t="s">
        <v>380</v>
      </c>
      <c r="B12" s="321">
        <f>LOD!B26</f>
        <v>0</v>
      </c>
      <c r="C12" s="321">
        <f>LOD!C26</f>
        <v>0</v>
      </c>
      <c r="D12" s="321">
        <f>LOD!D26</f>
        <v>0</v>
      </c>
      <c r="E12" s="321">
        <f>LOD!E26</f>
        <v>0</v>
      </c>
      <c r="F12" s="320"/>
      <c r="G12" s="42"/>
    </row>
    <row r="13" spans="1:11" x14ac:dyDescent="0.25">
      <c r="A13" s="56" t="s">
        <v>382</v>
      </c>
      <c r="B13" s="321">
        <f>LOD!B34</f>
        <v>0</v>
      </c>
      <c r="C13" s="320"/>
      <c r="D13" s="320"/>
      <c r="E13" s="320"/>
      <c r="F13" s="320"/>
      <c r="G13" s="42"/>
    </row>
    <row r="14" spans="1:11" x14ac:dyDescent="0.25">
      <c r="A14" s="56" t="s">
        <v>383</v>
      </c>
      <c r="B14" s="321" t="e">
        <f>LOD!B35</f>
        <v>#DIV/0!</v>
      </c>
      <c r="C14" s="320"/>
      <c r="D14" s="320"/>
      <c r="E14" s="320"/>
      <c r="F14" s="320"/>
      <c r="G14" s="42"/>
    </row>
    <row r="15" spans="1:11" x14ac:dyDescent="0.25">
      <c r="A15" s="56" t="s">
        <v>408</v>
      </c>
      <c r="B15" s="321" t="e">
        <f>TMDL!C28</f>
        <v>#N/A</v>
      </c>
      <c r="C15" s="320"/>
      <c r="D15" s="320"/>
      <c r="E15" s="320"/>
      <c r="F15" s="320"/>
      <c r="G15" s="42"/>
    </row>
    <row r="16" spans="1:11" x14ac:dyDescent="0.25">
      <c r="A16" s="56" t="s">
        <v>409</v>
      </c>
      <c r="B16" s="321" t="e">
        <f>TMDL!D28</f>
        <v>#N/A</v>
      </c>
      <c r="C16" s="320"/>
      <c r="D16" s="320"/>
      <c r="E16" s="320"/>
      <c r="F16" s="320"/>
      <c r="G16" s="42"/>
    </row>
    <row r="17" spans="1:7" x14ac:dyDescent="0.25">
      <c r="A17" s="1" t="s">
        <v>410</v>
      </c>
      <c r="B17" s="201" t="e">
        <f>TMDL!E28</f>
        <v>#N/A</v>
      </c>
      <c r="C17" s="200"/>
      <c r="D17" s="200"/>
      <c r="E17" s="200"/>
      <c r="F17" s="200"/>
      <c r="G17" s="41"/>
    </row>
    <row r="18" spans="1:7" x14ac:dyDescent="0.25">
      <c r="A18" s="1"/>
      <c r="B18" s="7"/>
      <c r="C18" s="41"/>
      <c r="D18" s="41"/>
      <c r="E18" s="41"/>
      <c r="F18" s="41"/>
      <c r="G18" s="41"/>
    </row>
    <row r="19" spans="1:7" x14ac:dyDescent="0.25">
      <c r="A19" s="3" t="s">
        <v>411</v>
      </c>
      <c r="B19" s="204" t="s">
        <v>1</v>
      </c>
      <c r="C19" s="204" t="s">
        <v>2</v>
      </c>
      <c r="D19" s="204" t="s">
        <v>3</v>
      </c>
      <c r="E19" s="204" t="s">
        <v>9</v>
      </c>
      <c r="F19" s="204" t="s">
        <v>10</v>
      </c>
      <c r="G19" s="41"/>
    </row>
    <row r="20" spans="1:7" ht="18" customHeight="1" x14ac:dyDescent="0.25">
      <c r="B20" s="517" t="str">
        <f>RPv!C6</f>
        <v>--</v>
      </c>
      <c r="C20" s="517" t="str">
        <f>RPv!E6</f>
        <v>--</v>
      </c>
      <c r="D20" s="517" t="str">
        <f>RPv!G6</f>
        <v>--</v>
      </c>
      <c r="E20" s="517" t="str">
        <f>RPv!I6</f>
        <v>--</v>
      </c>
      <c r="F20" s="517" t="str">
        <f>RPv!K6</f>
        <v>--</v>
      </c>
      <c r="G20" s="41"/>
    </row>
    <row r="21" spans="1:7" ht="18" customHeight="1" x14ac:dyDescent="0.25">
      <c r="A21" s="1"/>
      <c r="B21" s="518"/>
      <c r="C21" s="518"/>
      <c r="D21" s="518"/>
      <c r="E21" s="518"/>
      <c r="F21" s="518"/>
      <c r="G21" s="41"/>
    </row>
    <row r="22" spans="1:7" ht="18" customHeight="1" x14ac:dyDescent="0.25">
      <c r="A22" s="1"/>
      <c r="B22" s="519"/>
      <c r="C22" s="519"/>
      <c r="D22" s="519"/>
      <c r="E22" s="519"/>
      <c r="F22" s="519"/>
      <c r="G22" s="41"/>
    </row>
    <row r="23" spans="1:7" x14ac:dyDescent="0.25">
      <c r="A23" s="39" t="s">
        <v>266</v>
      </c>
      <c r="B23" s="198" t="str">
        <f>RPv!B33</f>
        <v>N/A</v>
      </c>
      <c r="C23" s="198" t="str">
        <f>RPv!D33</f>
        <v>N/A</v>
      </c>
      <c r="D23" s="198" t="str">
        <f>RPv!F33</f>
        <v>N/A</v>
      </c>
      <c r="E23" s="198" t="str">
        <f>RPv!H33</f>
        <v>N/A</v>
      </c>
      <c r="F23" s="198" t="str">
        <f>RPv!J33</f>
        <v>N/A</v>
      </c>
      <c r="G23" s="41"/>
    </row>
    <row r="24" spans="1:7" x14ac:dyDescent="0.25">
      <c r="A24" s="39" t="s">
        <v>317</v>
      </c>
      <c r="B24" s="197" t="str">
        <f>RPv!B35</f>
        <v>N/A</v>
      </c>
      <c r="C24" s="198" t="str">
        <f>RPv!D35</f>
        <v>N/A</v>
      </c>
      <c r="D24" s="198" t="str">
        <f>RPv!F35</f>
        <v>N/A</v>
      </c>
      <c r="E24" s="198" t="str">
        <f>RPv!H35</f>
        <v>N/A</v>
      </c>
      <c r="F24" s="198" t="str">
        <f>RPv!J35</f>
        <v>N/A</v>
      </c>
      <c r="G24" s="41"/>
    </row>
    <row r="25" spans="1:7" x14ac:dyDescent="0.25">
      <c r="A25" s="39" t="s">
        <v>267</v>
      </c>
      <c r="B25" s="202" t="str">
        <f>RPv!B36</f>
        <v>N/A</v>
      </c>
      <c r="C25" s="203" t="str">
        <f>RPv!D36</f>
        <v>N/A</v>
      </c>
      <c r="D25" s="203" t="str">
        <f>RPv!F36</f>
        <v>N/A</v>
      </c>
      <c r="E25" s="203" t="str">
        <f>RPv!H36</f>
        <v>N/A</v>
      </c>
      <c r="F25" s="203" t="str">
        <f>RPv!J36</f>
        <v>N/A</v>
      </c>
      <c r="G25" s="41"/>
    </row>
    <row r="26" spans="1:7" x14ac:dyDescent="0.25">
      <c r="A26" s="39" t="s">
        <v>576</v>
      </c>
      <c r="B26" s="197" t="str">
        <f>RPv!B39</f>
        <v>N/A</v>
      </c>
      <c r="C26" s="198" t="str">
        <f>RPv!D39</f>
        <v>N/A</v>
      </c>
      <c r="D26" s="198" t="str">
        <f>RPv!F39</f>
        <v>N/A</v>
      </c>
      <c r="E26" s="198" t="str">
        <f>RPv!H39</f>
        <v>N/A</v>
      </c>
      <c r="F26" s="198" t="str">
        <f>RPv!J39</f>
        <v>N/A</v>
      </c>
      <c r="G26" s="41"/>
    </row>
    <row r="27" spans="1:7" x14ac:dyDescent="0.25">
      <c r="A27" s="40" t="s">
        <v>566</v>
      </c>
      <c r="B27" s="205" t="str">
        <f>RPv!B45</f>
        <v>N/A</v>
      </c>
      <c r="C27" s="205" t="str">
        <f>RPv!D45</f>
        <v>N/A</v>
      </c>
      <c r="D27" s="205" t="str">
        <f>RPv!F45</f>
        <v>N/A</v>
      </c>
      <c r="E27" s="205" t="str">
        <f>RPv!H45</f>
        <v>N/A</v>
      </c>
      <c r="F27" s="205" t="str">
        <f>RPv!J45</f>
        <v>N/A</v>
      </c>
      <c r="G27" s="41"/>
    </row>
    <row r="28" spans="1:7" x14ac:dyDescent="0.25">
      <c r="A28" s="40" t="s">
        <v>333</v>
      </c>
      <c r="B28" s="197" t="str">
        <f>TMDL!C25</f>
        <v>N/A</v>
      </c>
      <c r="C28" s="197" t="str">
        <f>TMDL!G25</f>
        <v>N/A</v>
      </c>
      <c r="D28" s="197" t="str">
        <f>TMDL!K25</f>
        <v>N/A</v>
      </c>
      <c r="E28" s="197" t="str">
        <f>TMDL!O25</f>
        <v>N/A</v>
      </c>
      <c r="F28" s="197" t="str">
        <f>TMDL!S25</f>
        <v>N/A</v>
      </c>
      <c r="G28" s="41"/>
    </row>
    <row r="29" spans="1:7" x14ac:dyDescent="0.25">
      <c r="A29" s="40" t="s">
        <v>334</v>
      </c>
      <c r="B29" s="198" t="str">
        <f>TMDL!D25</f>
        <v>N/A</v>
      </c>
      <c r="C29" s="198" t="str">
        <f>TMDL!H25</f>
        <v>N/A</v>
      </c>
      <c r="D29" s="197" t="str">
        <f>TMDL!L25</f>
        <v>N/A</v>
      </c>
      <c r="E29" s="198" t="str">
        <f>TMDL!P25</f>
        <v>N/A</v>
      </c>
      <c r="F29" s="198" t="str">
        <f>TMDL!T25</f>
        <v>N/A</v>
      </c>
      <c r="G29" s="41"/>
    </row>
    <row r="30" spans="1:7" ht="15" customHeight="1" x14ac:dyDescent="0.25">
      <c r="A30" s="40" t="s">
        <v>335</v>
      </c>
      <c r="B30" s="198" t="str">
        <f>TMDL!E25</f>
        <v>N/A</v>
      </c>
      <c r="C30" s="198" t="str">
        <f>TMDL!I25</f>
        <v>N/A</v>
      </c>
      <c r="D30" s="197" t="str">
        <f>TMDL!M25</f>
        <v>N/A</v>
      </c>
      <c r="E30" s="198" t="str">
        <f>TMDL!Q25</f>
        <v>N/A</v>
      </c>
      <c r="F30" s="198" t="str">
        <f>TMDL!U25</f>
        <v>N/A</v>
      </c>
      <c r="G30" s="41"/>
    </row>
    <row r="31" spans="1:7" x14ac:dyDescent="0.25">
      <c r="A31" s="39" t="s">
        <v>268</v>
      </c>
      <c r="B31" s="198" t="str">
        <f>Cv!B27</f>
        <v>N/A</v>
      </c>
      <c r="C31" s="198" t="str">
        <f>Cv!D27</f>
        <v>N/A</v>
      </c>
      <c r="D31" s="198" t="str">
        <f>Cv!F27</f>
        <v>N/A</v>
      </c>
      <c r="E31" s="198" t="str">
        <f>Cv!H27</f>
        <v>N/A</v>
      </c>
      <c r="F31" s="198" t="str">
        <f>Cv!J27</f>
        <v>N/A</v>
      </c>
      <c r="G31" s="41"/>
    </row>
    <row r="32" spans="1:7" x14ac:dyDescent="0.25">
      <c r="A32" s="39" t="s">
        <v>269</v>
      </c>
      <c r="B32" s="198" t="str">
        <f>Fv!B27</f>
        <v>N/A</v>
      </c>
      <c r="C32" s="198" t="str">
        <f>Fv!D27</f>
        <v>N/A</v>
      </c>
      <c r="D32" s="198" t="str">
        <f>Fv!F27</f>
        <v>N/A</v>
      </c>
      <c r="E32" s="198" t="str">
        <f>Fv!H27</f>
        <v>N/A</v>
      </c>
      <c r="F32" s="198" t="str">
        <f>Fv!J27</f>
        <v>N/A</v>
      </c>
      <c r="G32" s="41"/>
    </row>
    <row r="33" spans="1:7" x14ac:dyDescent="0.25">
      <c r="A33" s="40"/>
      <c r="B33" s="199"/>
      <c r="C33" s="199"/>
      <c r="D33" s="199"/>
      <c r="E33" s="199"/>
      <c r="F33" s="199"/>
      <c r="G33" s="41"/>
    </row>
    <row r="34" spans="1:7" x14ac:dyDescent="0.25">
      <c r="A34" s="3" t="s">
        <v>161</v>
      </c>
      <c r="B34" s="41"/>
      <c r="C34" s="41"/>
      <c r="D34" s="41"/>
      <c r="E34" s="41"/>
      <c r="F34" s="41"/>
      <c r="G34" s="41"/>
    </row>
    <row r="35" spans="1:7" x14ac:dyDescent="0.25">
      <c r="A35" s="29" t="s">
        <v>308</v>
      </c>
      <c r="B35" s="197" t="e">
        <f>RPv!B10</f>
        <v>#DIV/0!</v>
      </c>
      <c r="C35" s="41"/>
      <c r="D35" s="41"/>
      <c r="E35" s="41"/>
      <c r="F35" s="41"/>
      <c r="G35" s="41"/>
    </row>
    <row r="36" spans="1:7" x14ac:dyDescent="0.25">
      <c r="A36" s="29" t="s">
        <v>485</v>
      </c>
      <c r="B36" s="197" t="e">
        <f>RPv!B24</f>
        <v>#DIV/0!</v>
      </c>
      <c r="C36" s="41"/>
      <c r="D36" s="41"/>
      <c r="E36" s="41"/>
      <c r="F36" s="41"/>
      <c r="G36" s="41"/>
    </row>
    <row r="37" spans="1:7" x14ac:dyDescent="0.25">
      <c r="A37" s="30" t="s">
        <v>567</v>
      </c>
      <c r="B37" s="197" t="e">
        <f>RPv!B11</f>
        <v>#DIV/0!</v>
      </c>
      <c r="C37" s="41"/>
      <c r="D37" s="41"/>
      <c r="E37" s="41"/>
      <c r="F37" s="41"/>
      <c r="G37" s="41"/>
    </row>
    <row r="38" spans="1:7" x14ac:dyDescent="0.25">
      <c r="A38" s="30" t="s">
        <v>568</v>
      </c>
      <c r="B38" s="203" t="e">
        <f>RPv!B12</f>
        <v>#DIV/0!</v>
      </c>
      <c r="C38" s="41"/>
      <c r="D38" s="41"/>
      <c r="E38" s="41"/>
      <c r="F38" s="41"/>
      <c r="G38" s="41"/>
    </row>
    <row r="39" spans="1:7" s="349" customFormat="1" x14ac:dyDescent="0.25">
      <c r="A39" s="30" t="s">
        <v>611</v>
      </c>
      <c r="B39" s="201" t="e">
        <f>B37/12*43560*B7</f>
        <v>#DIV/0!</v>
      </c>
      <c r="C39" s="41"/>
      <c r="D39" s="41"/>
      <c r="E39" s="41"/>
      <c r="F39" s="41"/>
      <c r="G39" s="41"/>
    </row>
    <row r="40" spans="1:7" s="349" customFormat="1" x14ac:dyDescent="0.25">
      <c r="A40" s="30" t="s">
        <v>605</v>
      </c>
      <c r="B40" s="201">
        <f>MAX(RPv!B32,RPv!D32,RPv!F32,RPv!H32,RPv!J32)</f>
        <v>0</v>
      </c>
      <c r="C40" s="41"/>
      <c r="D40" s="41"/>
      <c r="E40" s="41"/>
      <c r="F40" s="41"/>
      <c r="G40" s="41"/>
    </row>
    <row r="41" spans="1:7" x14ac:dyDescent="0.25">
      <c r="A41" s="30" t="s">
        <v>575</v>
      </c>
      <c r="B41" s="201">
        <f>MIN(RPv!B45,RPv!D45,RPv!F45,RPv!H45,RPv!J45,RPv!B40,RPv!D40,RPv!F40,RPv!H40,RPv!J40)</f>
        <v>0</v>
      </c>
      <c r="C41" s="408" t="str">
        <f>IF(B41=0,"",IF(B41&gt;0,"SHORTFALL","CREDIT"))</f>
        <v/>
      </c>
      <c r="D41" s="514" t="str">
        <f>IF(C41="SHORTFALL"," (Requires additional management or offset)","" )</f>
        <v/>
      </c>
      <c r="E41" s="515"/>
      <c r="F41" s="515"/>
      <c r="G41" s="41"/>
    </row>
    <row r="42" spans="1:7" x14ac:dyDescent="0.25">
      <c r="A42" s="61" t="s">
        <v>569</v>
      </c>
      <c r="B42" s="197">
        <f>MIN(RPv!B46,RPv!D46,RPv!F46,RPv!H46,RPv!J46)</f>
        <v>0</v>
      </c>
      <c r="C42" s="41"/>
      <c r="D42" s="41"/>
      <c r="E42" s="41"/>
      <c r="F42" s="41"/>
      <c r="G42" s="41"/>
    </row>
    <row r="43" spans="1:7" s="349" customFormat="1" x14ac:dyDescent="0.25">
      <c r="A43" s="61" t="s">
        <v>570</v>
      </c>
      <c r="B43" s="197">
        <f>MIN(RPv!B47,RPv!D47,RPv!F47,RPv!H47,RPv!J47)</f>
        <v>0</v>
      </c>
      <c r="C43" s="41"/>
      <c r="D43" s="41"/>
      <c r="E43" s="41"/>
      <c r="F43" s="41"/>
      <c r="G43" s="41"/>
    </row>
    <row r="44" spans="1:7" s="349" customFormat="1" x14ac:dyDescent="0.25">
      <c r="A44" s="56" t="s">
        <v>499</v>
      </c>
      <c r="B44" s="197">
        <f>MIN(TMDL!C30,TMDL!G30,TMDL!K30,TMDL!O30,TMDL!S30)</f>
        <v>0</v>
      </c>
      <c r="C44" s="41"/>
      <c r="D44" s="41"/>
      <c r="E44" s="41"/>
      <c r="F44" s="41"/>
      <c r="G44" s="41"/>
    </row>
    <row r="45" spans="1:7" s="349" customFormat="1" x14ac:dyDescent="0.25">
      <c r="A45" s="56" t="s">
        <v>500</v>
      </c>
      <c r="B45" s="197">
        <f>MIN(TMDL!D30,TMDL!H30,TMDL!L30,TMDL!P30,TMDL!T30)</f>
        <v>0</v>
      </c>
      <c r="C45" s="41"/>
      <c r="D45" s="41"/>
      <c r="E45" s="41"/>
      <c r="F45" s="41"/>
      <c r="G45" s="41"/>
    </row>
    <row r="46" spans="1:7" s="349" customFormat="1" x14ac:dyDescent="0.25">
      <c r="A46" s="56" t="s">
        <v>501</v>
      </c>
      <c r="B46" s="201">
        <f>MIN(TMDL!E30,TMDL!I30,TMDL!M30,TMDL!Q30,TMDL!U30)</f>
        <v>0</v>
      </c>
      <c r="C46" s="41"/>
      <c r="D46" s="41"/>
      <c r="E46" s="41"/>
      <c r="F46" s="41"/>
      <c r="G46" s="41"/>
    </row>
    <row r="47" spans="1:7" x14ac:dyDescent="0.25">
      <c r="A47" s="1"/>
      <c r="B47" s="200"/>
      <c r="C47" s="41"/>
      <c r="D47" s="41"/>
      <c r="E47" s="41"/>
      <c r="F47" s="41"/>
      <c r="G47" s="41"/>
    </row>
    <row r="48" spans="1:7" x14ac:dyDescent="0.25">
      <c r="A48" s="3" t="s">
        <v>162</v>
      </c>
      <c r="B48" s="200"/>
      <c r="C48" s="41"/>
      <c r="D48" s="41"/>
      <c r="E48" s="41"/>
      <c r="F48" s="41"/>
      <c r="G48" s="41"/>
    </row>
    <row r="49" spans="1:7" x14ac:dyDescent="0.25">
      <c r="A49" s="13" t="s">
        <v>309</v>
      </c>
      <c r="B49" s="197" t="e">
        <f>Cv!B11</f>
        <v>#N/A</v>
      </c>
      <c r="C49" s="41"/>
      <c r="D49" s="41"/>
      <c r="E49" s="41"/>
      <c r="F49" s="41"/>
      <c r="G49" s="41"/>
    </row>
    <row r="50" spans="1:7" x14ac:dyDescent="0.25">
      <c r="A50" s="56" t="s">
        <v>578</v>
      </c>
      <c r="B50" s="197">
        <f>MIN(Cv!B29,Cv!D29,Cv!F29,Cv!H29,Cv!J29)</f>
        <v>0</v>
      </c>
      <c r="C50" s="41"/>
      <c r="D50" s="41"/>
      <c r="E50" s="41"/>
      <c r="F50" s="41"/>
      <c r="G50" s="41"/>
    </row>
    <row r="51" spans="1:7" x14ac:dyDescent="0.25">
      <c r="A51" s="1"/>
      <c r="B51" s="200"/>
      <c r="C51" s="41"/>
      <c r="D51" s="41"/>
      <c r="E51" s="41"/>
      <c r="F51" s="41"/>
      <c r="G51" s="41"/>
    </row>
    <row r="52" spans="1:7" x14ac:dyDescent="0.25">
      <c r="A52" s="3" t="s">
        <v>163</v>
      </c>
      <c r="B52" s="200"/>
      <c r="C52" s="41"/>
      <c r="D52" s="41"/>
      <c r="E52" s="41"/>
      <c r="F52" s="41"/>
      <c r="G52" s="41"/>
    </row>
    <row r="53" spans="1:7" x14ac:dyDescent="0.25">
      <c r="A53" s="13" t="s">
        <v>310</v>
      </c>
      <c r="B53" s="197" t="e">
        <f>Fv!B11</f>
        <v>#N/A</v>
      </c>
      <c r="C53" s="41"/>
      <c r="D53" s="41"/>
      <c r="E53" s="41"/>
      <c r="F53" s="41"/>
      <c r="G53" s="41"/>
    </row>
    <row r="54" spans="1:7" x14ac:dyDescent="0.25">
      <c r="A54" s="56" t="s">
        <v>577</v>
      </c>
      <c r="B54" s="197">
        <f>MIN(Fv!B29,Fv!D29,Fv!F29,Fv!H29,Fv!J29)</f>
        <v>0</v>
      </c>
      <c r="C54" s="41"/>
      <c r="D54" s="41"/>
      <c r="E54" s="41"/>
      <c r="F54" s="41"/>
      <c r="G54" s="41"/>
    </row>
    <row r="55" spans="1:7" x14ac:dyDescent="0.25">
      <c r="A55" s="1"/>
      <c r="B55" s="200"/>
      <c r="C55" s="41"/>
      <c r="D55" s="41"/>
      <c r="E55" s="41"/>
      <c r="F55" s="41"/>
      <c r="G55" s="41"/>
    </row>
    <row r="56" spans="1:7" x14ac:dyDescent="0.25">
      <c r="A56" s="59" t="s">
        <v>384</v>
      </c>
      <c r="B56" s="320"/>
      <c r="C56" s="42"/>
      <c r="D56" s="42"/>
      <c r="E56" s="42"/>
      <c r="F56" s="42"/>
      <c r="G56" s="41"/>
    </row>
    <row r="57" spans="1:7" s="349" customFormat="1" x14ac:dyDescent="0.25">
      <c r="A57" s="56" t="s">
        <v>403</v>
      </c>
      <c r="B57" s="321">
        <f>B2</f>
        <v>0</v>
      </c>
      <c r="C57" s="42"/>
      <c r="D57" s="42"/>
      <c r="E57" s="42"/>
      <c r="F57" s="42"/>
      <c r="G57" s="41"/>
    </row>
    <row r="58" spans="1:7" x14ac:dyDescent="0.25">
      <c r="A58" s="56" t="s">
        <v>404</v>
      </c>
      <c r="B58" s="321">
        <f>'C.A. RCN'!K100</f>
        <v>0</v>
      </c>
      <c r="C58" s="42"/>
      <c r="D58" s="42"/>
      <c r="E58" s="42"/>
      <c r="F58" s="42"/>
      <c r="G58" s="41"/>
    </row>
    <row r="59" spans="1:7" x14ac:dyDescent="0.25">
      <c r="A59" s="56" t="s">
        <v>390</v>
      </c>
      <c r="B59" s="321" t="e">
        <f>LOD!B37</f>
        <v>#DIV/0!</v>
      </c>
      <c r="C59" s="42"/>
      <c r="D59" s="42"/>
      <c r="E59" s="42"/>
      <c r="F59" s="42"/>
      <c r="G59" s="41"/>
    </row>
    <row r="60" spans="1:7" x14ac:dyDescent="0.25">
      <c r="A60" s="56" t="s">
        <v>368</v>
      </c>
      <c r="B60" s="322" t="e">
        <f>MIN(RPv!B37,RPv!D37,RPv!F37,RPv!H37,RPv!J37)</f>
        <v>#VALUE!</v>
      </c>
      <c r="C60" s="42"/>
      <c r="D60" s="42"/>
      <c r="E60" s="42"/>
      <c r="F60" s="42"/>
      <c r="G60" s="41"/>
    </row>
    <row r="61" spans="1:7" x14ac:dyDescent="0.25">
      <c r="A61" s="56" t="s">
        <v>365</v>
      </c>
      <c r="B61" s="321">
        <f>MIN(RPv!B33,RPv!D33,RPv!F33,RPv!H33,RPv!J33)</f>
        <v>0</v>
      </c>
      <c r="C61" s="42"/>
      <c r="D61" s="42"/>
      <c r="E61" s="42"/>
      <c r="F61" s="42"/>
      <c r="G61" s="41"/>
    </row>
    <row r="62" spans="1:7" x14ac:dyDescent="0.25">
      <c r="A62" s="56" t="s">
        <v>386</v>
      </c>
      <c r="B62" s="321">
        <f>MIN(Cv!B27,Cv!D27,Cv!F27,Cv!H27,Cv!J27)</f>
        <v>0</v>
      </c>
      <c r="C62" s="42"/>
      <c r="D62" s="42"/>
      <c r="E62" s="42"/>
      <c r="F62" s="42"/>
      <c r="G62" s="41"/>
    </row>
    <row r="63" spans="1:7" x14ac:dyDescent="0.25">
      <c r="A63" s="56" t="s">
        <v>387</v>
      </c>
      <c r="B63" s="321">
        <f>MIN(Fv!B27,Fv!D27,Fv!F27,Fv!H27,Fv!J27)</f>
        <v>0</v>
      </c>
      <c r="C63" s="42"/>
      <c r="D63" s="42"/>
      <c r="E63" s="42"/>
      <c r="F63" s="42"/>
      <c r="G63" s="41"/>
    </row>
    <row r="64" spans="1:7" x14ac:dyDescent="0.25">
      <c r="A64" s="56"/>
      <c r="B64" s="320"/>
      <c r="C64" s="42"/>
      <c r="D64" s="42"/>
      <c r="E64" s="42"/>
      <c r="F64" s="42"/>
      <c r="G64" s="41"/>
    </row>
    <row r="65" spans="1:7" x14ac:dyDescent="0.25">
      <c r="A65" s="59" t="s">
        <v>406</v>
      </c>
      <c r="B65" s="320"/>
      <c r="C65" s="42"/>
      <c r="D65" s="42"/>
      <c r="E65" s="42"/>
      <c r="F65" s="42"/>
      <c r="G65" s="41"/>
    </row>
    <row r="66" spans="1:7" x14ac:dyDescent="0.25">
      <c r="A66" s="56" t="s">
        <v>404</v>
      </c>
      <c r="B66" s="321">
        <f>'C.A. RCN'!K100</f>
        <v>0</v>
      </c>
      <c r="C66" s="42"/>
      <c r="D66" s="42"/>
      <c r="E66" s="42"/>
      <c r="F66" s="42"/>
      <c r="G66" s="41"/>
    </row>
    <row r="67" spans="1:7" x14ac:dyDescent="0.25">
      <c r="A67" s="56" t="s">
        <v>385</v>
      </c>
      <c r="B67" s="321">
        <f>LOD!B34</f>
        <v>0</v>
      </c>
      <c r="C67" s="42"/>
      <c r="D67" s="42"/>
      <c r="E67" s="42"/>
      <c r="F67" s="42"/>
      <c r="G67" s="41"/>
    </row>
    <row r="68" spans="1:7" x14ac:dyDescent="0.25">
      <c r="A68" s="56" t="s">
        <v>499</v>
      </c>
      <c r="B68" s="321">
        <f>MIN(TMDL!C30,TMDL!G30,TMDL!K30,TMDL!O30,TMDL!S30)</f>
        <v>0</v>
      </c>
      <c r="C68" s="42"/>
      <c r="D68" s="42"/>
      <c r="E68" s="42"/>
      <c r="F68" s="42"/>
      <c r="G68" s="41"/>
    </row>
    <row r="69" spans="1:7" x14ac:dyDescent="0.25">
      <c r="A69" s="56" t="s">
        <v>500</v>
      </c>
      <c r="B69" s="321">
        <f>MIN(TMDL!D30,TMDL!H30,TMDL!L30,TMDL!P30,TMDL!T30)</f>
        <v>0</v>
      </c>
      <c r="C69" s="42"/>
      <c r="D69" s="42"/>
      <c r="E69" s="42"/>
      <c r="F69" s="42"/>
      <c r="G69" s="41"/>
    </row>
    <row r="70" spans="1:7" x14ac:dyDescent="0.25">
      <c r="A70" s="56" t="s">
        <v>501</v>
      </c>
      <c r="B70" s="433">
        <f>MIN(TMDL!E30,TMDL!I30,TMDL!M30,TMDL!Q30,TMDL!U30)</f>
        <v>0</v>
      </c>
      <c r="C70" s="42"/>
      <c r="D70" s="42"/>
      <c r="E70" s="42"/>
      <c r="F70" s="42"/>
      <c r="G70" s="41"/>
    </row>
    <row r="71" spans="1:7" x14ac:dyDescent="0.25">
      <c r="A71" s="56" t="s">
        <v>413</v>
      </c>
      <c r="B71" s="323" t="e">
        <f>(LOD!B11*LOD!B7+LOD!C11*LOD!C7+LOD!D11*LOD!D7+LOD!E11*LOD!E7)/LOD!B19</f>
        <v>#DIV/0!</v>
      </c>
      <c r="C71" s="42"/>
      <c r="D71" s="42"/>
      <c r="E71" s="42"/>
      <c r="F71" s="42"/>
      <c r="G71" s="41"/>
    </row>
    <row r="72" spans="1:7" s="349" customFormat="1" x14ac:dyDescent="0.25">
      <c r="A72" s="56"/>
      <c r="B72" s="362"/>
      <c r="C72" s="42"/>
      <c r="D72" s="42"/>
      <c r="E72" s="42"/>
      <c r="F72" s="42"/>
      <c r="G72" s="41"/>
    </row>
    <row r="73" spans="1:7" s="349" customFormat="1" x14ac:dyDescent="0.25">
      <c r="A73" s="59" t="s">
        <v>542</v>
      </c>
      <c r="B73" s="362"/>
      <c r="C73" s="42"/>
      <c r="D73" s="42"/>
      <c r="E73" s="42"/>
      <c r="F73" s="42"/>
      <c r="G73" s="41"/>
    </row>
    <row r="74" spans="1:7" s="349" customFormat="1" x14ac:dyDescent="0.25">
      <c r="A74" s="56" t="s">
        <v>403</v>
      </c>
      <c r="B74" s="321">
        <f>B2</f>
        <v>0</v>
      </c>
      <c r="C74" s="42"/>
      <c r="D74" s="42"/>
      <c r="E74" s="42"/>
      <c r="F74" s="42"/>
      <c r="G74" s="41"/>
    </row>
    <row r="75" spans="1:7" s="349" customFormat="1" x14ac:dyDescent="0.25">
      <c r="A75" s="56" t="s">
        <v>404</v>
      </c>
      <c r="B75" s="321">
        <f>'C.A. RCN'!K100</f>
        <v>0</v>
      </c>
      <c r="C75" s="42"/>
      <c r="D75" s="42"/>
      <c r="E75" s="42"/>
      <c r="F75" s="42"/>
      <c r="G75" s="41"/>
    </row>
    <row r="76" spans="1:7" s="349" customFormat="1" x14ac:dyDescent="0.25">
      <c r="A76" s="56" t="s">
        <v>575</v>
      </c>
      <c r="B76" s="201">
        <f>MIN(RPv!B45,RPv!D45,RPv!F45,RPv!H45,RPv!J45,RPv!B40,RPv!D40,RPv!F40,RPv!H40,RPv!J40)</f>
        <v>0</v>
      </c>
      <c r="C76" s="408" t="str">
        <f>IF(B76=0,"",IF(B76&gt;0,"SHORTFALL","CREDIT"))</f>
        <v/>
      </c>
      <c r="D76" s="512" t="str">
        <f>IF(C76="SHORTFALL"," (Requires additional management or offset)","" )</f>
        <v/>
      </c>
      <c r="E76" s="513"/>
      <c r="F76" s="513"/>
      <c r="G76" s="41"/>
    </row>
    <row r="77" spans="1:7" s="349" customFormat="1" x14ac:dyDescent="0.25">
      <c r="A77" s="56" t="s">
        <v>368</v>
      </c>
      <c r="B77" s="322" t="e">
        <f>MIN(RPv!B37,RPv!D37,RPv!F37,RPv!H37,RPv!J37)</f>
        <v>#VALUE!</v>
      </c>
      <c r="C77" s="42"/>
      <c r="D77" s="42"/>
      <c r="E77" s="42"/>
      <c r="F77" s="42"/>
      <c r="G77" s="41"/>
    </row>
    <row r="78" spans="1:7" s="349" customFormat="1" x14ac:dyDescent="0.25">
      <c r="A78" s="56" t="s">
        <v>543</v>
      </c>
      <c r="B78" s="197">
        <f>MIN(Cv!B29,Cv!D29,Cv!F29,Cv!H29,Cv!J29)</f>
        <v>0</v>
      </c>
      <c r="C78" s="42"/>
      <c r="D78" s="42"/>
      <c r="E78" s="42"/>
      <c r="F78" s="42"/>
      <c r="G78" s="41"/>
    </row>
    <row r="79" spans="1:7" s="349" customFormat="1" x14ac:dyDescent="0.25">
      <c r="A79" s="56" t="s">
        <v>544</v>
      </c>
      <c r="B79" s="197">
        <f>MIN(Fv!B29,Fv!D29,Fv!F29,Fv!H29,Fv!J29)</f>
        <v>0</v>
      </c>
      <c r="C79" s="42"/>
      <c r="D79" s="42"/>
      <c r="E79" s="42"/>
      <c r="F79" s="42"/>
      <c r="G79" s="41"/>
    </row>
    <row r="80" spans="1:7" s="349" customFormat="1" x14ac:dyDescent="0.25">
      <c r="A80" s="56" t="s">
        <v>499</v>
      </c>
      <c r="B80" s="321">
        <f>MIN(TMDL!C30,TMDL!G30,TMDL!K30,TMDL!O30,TMDL!S30)</f>
        <v>0</v>
      </c>
      <c r="C80" s="42"/>
      <c r="D80" s="42"/>
      <c r="E80" s="42"/>
      <c r="F80" s="42"/>
      <c r="G80" s="41"/>
    </row>
    <row r="81" spans="1:7" s="349" customFormat="1" x14ac:dyDescent="0.25">
      <c r="A81" s="56" t="s">
        <v>500</v>
      </c>
      <c r="B81" s="321">
        <f>MIN(TMDL!D30,TMDL!H30,TMDL!L30,TMDL!P30,TMDL!T30)</f>
        <v>0</v>
      </c>
      <c r="C81" s="42"/>
      <c r="D81" s="42"/>
      <c r="E81" s="42"/>
      <c r="F81" s="42"/>
      <c r="G81" s="41"/>
    </row>
    <row r="82" spans="1:7" s="349" customFormat="1" x14ac:dyDescent="0.25">
      <c r="A82" s="56" t="s">
        <v>501</v>
      </c>
      <c r="B82" s="433">
        <f>MIN(TMDL!E30,TMDL!I30,TMDL!M30,TMDL!Q30,TMDL!U30)</f>
        <v>0</v>
      </c>
      <c r="C82" s="42"/>
      <c r="D82" s="42"/>
      <c r="E82" s="42"/>
      <c r="F82" s="42"/>
      <c r="G82" s="41"/>
    </row>
    <row r="83" spans="1:7" x14ac:dyDescent="0.25">
      <c r="A83" s="209"/>
      <c r="B83" s="42"/>
      <c r="C83" s="42"/>
      <c r="D83" s="42"/>
      <c r="E83" s="42"/>
      <c r="F83" s="42"/>
      <c r="G83" s="41"/>
    </row>
    <row r="84" spans="1:7" x14ac:dyDescent="0.25">
      <c r="A84" s="57"/>
      <c r="B84" s="209"/>
      <c r="C84" s="209"/>
      <c r="D84" s="209"/>
      <c r="E84" s="209"/>
      <c r="F84" s="209"/>
    </row>
    <row r="94" spans="1:7" x14ac:dyDescent="0.25">
      <c r="C94" s="194"/>
      <c r="D94" s="15"/>
      <c r="E94" s="90"/>
      <c r="F94" s="90"/>
    </row>
  </sheetData>
  <sheetProtection algorithmName="SHA-512" hashValue="LJbU8lMVrKKDx/slrIAoXTz3geYrcaIUNuHkYlWXKWkfrDVog1y71jJzQQbxZX7PS3rhJ4PiKe7ukcWZMRvHeQ==" saltValue="A8nkOD9WSp3CJcO+x7GMrw==" spinCount="100000" sheet="1" objects="1" scenarios="1"/>
  <mergeCells count="13">
    <mergeCell ref="D76:F76"/>
    <mergeCell ref="D41:F41"/>
    <mergeCell ref="B1:F1"/>
    <mergeCell ref="B2:F2"/>
    <mergeCell ref="B20:B22"/>
    <mergeCell ref="B3:C3"/>
    <mergeCell ref="D3:E3"/>
    <mergeCell ref="B4:C4"/>
    <mergeCell ref="E4:F4"/>
    <mergeCell ref="C20:C22"/>
    <mergeCell ref="D20:D22"/>
    <mergeCell ref="E20:E22"/>
    <mergeCell ref="F20:F22"/>
  </mergeCells>
  <pageMargins left="0.7" right="0.7" top="0.75" bottom="0.75" header="0.3" footer="0.3"/>
  <pageSetup paperSize="17" scale="88" orientation="portrait" horizontalDpi="300" verticalDpi="300" r:id="rId1"/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R103"/>
  <sheetViews>
    <sheetView zoomScaleNormal="100" workbookViewId="0">
      <pane ySplit="1" topLeftCell="A2" activePane="bottomLeft" state="frozen"/>
      <selection activeCell="C1" sqref="C1"/>
      <selection pane="bottomLeft" activeCell="M83" sqref="M83"/>
    </sheetView>
  </sheetViews>
  <sheetFormatPr defaultRowHeight="15" x14ac:dyDescent="0.25"/>
  <cols>
    <col min="1" max="1" width="34.85546875" style="349" customWidth="1"/>
    <col min="2" max="2" width="32.28515625" style="349" customWidth="1"/>
    <col min="3" max="3" width="44" style="349" customWidth="1"/>
    <col min="4" max="4" width="7" style="349" customWidth="1"/>
    <col min="5" max="5" width="24.5703125" style="349" customWidth="1"/>
    <col min="6" max="6" width="7" style="349" customWidth="1"/>
    <col min="7" max="7" width="24.5703125" style="349" customWidth="1"/>
    <col min="8" max="8" width="7.5703125" style="349" customWidth="1"/>
    <col min="9" max="9" width="24.5703125" style="349" customWidth="1"/>
    <col min="10" max="10" width="14.140625" style="337" customWidth="1"/>
    <col min="11" max="11" width="7.140625" style="349" bestFit="1" customWidth="1"/>
    <col min="12" max="12" width="21.85546875" style="349" bestFit="1" customWidth="1"/>
    <col min="13" max="13" width="9.140625" style="349" bestFit="1" customWidth="1"/>
    <col min="14" max="14" width="21.85546875" style="349" customWidth="1"/>
    <col min="15" max="15" width="5.7109375" style="349" bestFit="1" customWidth="1"/>
    <col min="16" max="16" width="21.85546875" style="349" bestFit="1" customWidth="1"/>
    <col min="17" max="17" width="5.85546875" style="349" customWidth="1"/>
    <col min="18" max="18" width="21.85546875" style="349" bestFit="1" customWidth="1"/>
    <col min="19" max="16384" width="9.140625" style="349"/>
  </cols>
  <sheetData>
    <row r="1" spans="1:18" ht="32.25" customHeight="1" thickBot="1" x14ac:dyDescent="0.3">
      <c r="A1" s="338" t="s">
        <v>213</v>
      </c>
      <c r="B1" s="339" t="s">
        <v>416</v>
      </c>
      <c r="C1" s="340" t="s">
        <v>415</v>
      </c>
      <c r="D1" s="527" t="s">
        <v>280</v>
      </c>
      <c r="E1" s="527"/>
      <c r="F1" s="529" t="s">
        <v>281</v>
      </c>
      <c r="G1" s="530"/>
      <c r="H1" s="527" t="s">
        <v>282</v>
      </c>
      <c r="I1" s="527"/>
      <c r="J1" s="333" t="s">
        <v>550</v>
      </c>
      <c r="K1" s="531" t="s">
        <v>507</v>
      </c>
      <c r="L1" s="532"/>
      <c r="M1" s="531" t="s">
        <v>508</v>
      </c>
      <c r="N1" s="532"/>
      <c r="O1" s="527" t="s">
        <v>509</v>
      </c>
      <c r="P1" s="528"/>
      <c r="Q1" s="527" t="s">
        <v>510</v>
      </c>
      <c r="R1" s="528"/>
    </row>
    <row r="2" spans="1:18" ht="15.75" thickTop="1" x14ac:dyDescent="0.25">
      <c r="A2" s="349" t="s">
        <v>548</v>
      </c>
      <c r="B2" s="349" t="s">
        <v>189</v>
      </c>
      <c r="C2" s="349" t="s">
        <v>547</v>
      </c>
      <c r="D2" s="206">
        <v>0</v>
      </c>
      <c r="F2" s="206">
        <v>0</v>
      </c>
      <c r="H2" s="206">
        <v>0</v>
      </c>
      <c r="J2" s="334">
        <v>0</v>
      </c>
      <c r="K2" s="206">
        <v>0</v>
      </c>
      <c r="M2" s="206">
        <v>0</v>
      </c>
      <c r="O2" s="206">
        <v>0</v>
      </c>
      <c r="Q2" s="206">
        <v>0</v>
      </c>
    </row>
    <row r="3" spans="1:18" x14ac:dyDescent="0.25">
      <c r="D3" s="206"/>
      <c r="F3" s="206"/>
      <c r="H3" s="206"/>
      <c r="J3" s="334"/>
      <c r="K3" s="206"/>
      <c r="M3" s="206"/>
      <c r="O3" s="206"/>
      <c r="Q3" s="206"/>
    </row>
    <row r="4" spans="1:18" x14ac:dyDescent="0.25">
      <c r="A4" s="349" t="s">
        <v>417</v>
      </c>
      <c r="B4" s="349" t="s">
        <v>418</v>
      </c>
      <c r="C4" s="349" t="s">
        <v>419</v>
      </c>
      <c r="D4" s="206">
        <v>1</v>
      </c>
      <c r="E4" s="349" t="s">
        <v>503</v>
      </c>
      <c r="F4" s="206">
        <v>1</v>
      </c>
      <c r="G4" s="349" t="s">
        <v>503</v>
      </c>
      <c r="H4" s="206">
        <v>1</v>
      </c>
      <c r="I4" s="349" t="s">
        <v>503</v>
      </c>
      <c r="J4" s="334">
        <v>1</v>
      </c>
      <c r="K4" s="206">
        <v>0</v>
      </c>
      <c r="L4" s="349" t="s">
        <v>504</v>
      </c>
      <c r="M4" s="206">
        <v>0</v>
      </c>
      <c r="N4" s="349" t="s">
        <v>504</v>
      </c>
      <c r="O4" s="206">
        <v>0</v>
      </c>
      <c r="P4" s="349" t="s">
        <v>504</v>
      </c>
      <c r="Q4" s="206">
        <v>0</v>
      </c>
      <c r="R4" s="349" t="s">
        <v>504</v>
      </c>
    </row>
    <row r="5" spans="1:18" x14ac:dyDescent="0.25">
      <c r="A5" s="349" t="s">
        <v>417</v>
      </c>
      <c r="B5" s="349" t="s">
        <v>418</v>
      </c>
      <c r="C5" s="349" t="s">
        <v>420</v>
      </c>
      <c r="D5" s="206">
        <v>1</v>
      </c>
      <c r="E5" s="349" t="s">
        <v>503</v>
      </c>
      <c r="F5" s="206">
        <v>1</v>
      </c>
      <c r="G5" s="349" t="s">
        <v>503</v>
      </c>
      <c r="H5" s="206">
        <v>1</v>
      </c>
      <c r="I5" s="349" t="s">
        <v>503</v>
      </c>
      <c r="J5" s="334">
        <v>1</v>
      </c>
      <c r="K5" s="206">
        <v>0</v>
      </c>
      <c r="L5" s="349" t="s">
        <v>504</v>
      </c>
      <c r="M5" s="206">
        <v>0</v>
      </c>
      <c r="N5" s="349" t="s">
        <v>504</v>
      </c>
      <c r="O5" s="206">
        <v>0</v>
      </c>
      <c r="P5" s="349" t="s">
        <v>504</v>
      </c>
      <c r="Q5" s="206">
        <v>0</v>
      </c>
      <c r="R5" s="349" t="s">
        <v>504</v>
      </c>
    </row>
    <row r="6" spans="1:18" x14ac:dyDescent="0.25">
      <c r="A6" s="349" t="s">
        <v>417</v>
      </c>
      <c r="B6" s="349" t="s">
        <v>418</v>
      </c>
      <c r="C6" s="349" t="s">
        <v>421</v>
      </c>
      <c r="D6" s="206">
        <v>1</v>
      </c>
      <c r="E6" s="349" t="s">
        <v>503</v>
      </c>
      <c r="F6" s="206">
        <v>1</v>
      </c>
      <c r="G6" s="349" t="s">
        <v>503</v>
      </c>
      <c r="H6" s="206">
        <v>1</v>
      </c>
      <c r="I6" s="349" t="s">
        <v>503</v>
      </c>
      <c r="J6" s="334">
        <v>1</v>
      </c>
      <c r="K6" s="206">
        <v>0</v>
      </c>
      <c r="L6" s="349" t="s">
        <v>504</v>
      </c>
      <c r="M6" s="206">
        <v>0</v>
      </c>
      <c r="N6" s="349" t="s">
        <v>504</v>
      </c>
      <c r="O6" s="206">
        <v>0</v>
      </c>
      <c r="P6" s="349" t="s">
        <v>504</v>
      </c>
      <c r="Q6" s="206">
        <v>0</v>
      </c>
      <c r="R6" s="349" t="s">
        <v>504</v>
      </c>
    </row>
    <row r="7" spans="1:18" x14ac:dyDescent="0.25">
      <c r="D7" s="206"/>
      <c r="F7" s="206"/>
      <c r="H7" s="206"/>
      <c r="J7" s="334"/>
      <c r="K7" s="206"/>
      <c r="M7" s="206"/>
      <c r="O7" s="206"/>
      <c r="Q7" s="206"/>
    </row>
    <row r="8" spans="1:18" x14ac:dyDescent="0.25">
      <c r="A8" s="352" t="s">
        <v>417</v>
      </c>
      <c r="B8" s="353" t="s">
        <v>422</v>
      </c>
      <c r="C8" s="353" t="s">
        <v>427</v>
      </c>
      <c r="D8" s="206">
        <v>1</v>
      </c>
      <c r="E8" s="349" t="s">
        <v>503</v>
      </c>
      <c r="F8" s="206">
        <v>1</v>
      </c>
      <c r="G8" s="349" t="s">
        <v>503</v>
      </c>
      <c r="H8" s="206">
        <v>1</v>
      </c>
      <c r="I8" s="349" t="s">
        <v>503</v>
      </c>
      <c r="J8" s="334">
        <v>1</v>
      </c>
      <c r="K8" s="354">
        <v>0</v>
      </c>
      <c r="L8" s="352" t="s">
        <v>504</v>
      </c>
      <c r="M8" s="354">
        <v>0</v>
      </c>
      <c r="N8" s="352" t="s">
        <v>504</v>
      </c>
      <c r="O8" s="354">
        <v>0</v>
      </c>
      <c r="P8" s="352" t="s">
        <v>504</v>
      </c>
      <c r="Q8" s="354">
        <v>0</v>
      </c>
      <c r="R8" s="352" t="s">
        <v>504</v>
      </c>
    </row>
    <row r="9" spans="1:18" x14ac:dyDescent="0.25">
      <c r="A9" s="349" t="s">
        <v>417</v>
      </c>
      <c r="B9" s="4" t="s">
        <v>422</v>
      </c>
      <c r="C9" s="4" t="s">
        <v>428</v>
      </c>
      <c r="D9" s="206">
        <v>1</v>
      </c>
      <c r="E9" s="349" t="s">
        <v>503</v>
      </c>
      <c r="F9" s="206">
        <v>1</v>
      </c>
      <c r="G9" s="349" t="s">
        <v>503</v>
      </c>
      <c r="H9" s="206">
        <v>1</v>
      </c>
      <c r="I9" s="349" t="s">
        <v>503</v>
      </c>
      <c r="J9" s="334">
        <v>1</v>
      </c>
      <c r="K9" s="206">
        <v>0</v>
      </c>
      <c r="L9" s="349" t="s">
        <v>504</v>
      </c>
      <c r="M9" s="206">
        <v>0</v>
      </c>
      <c r="N9" s="349" t="s">
        <v>504</v>
      </c>
      <c r="O9" s="206">
        <v>0</v>
      </c>
      <c r="P9" s="349" t="s">
        <v>504</v>
      </c>
      <c r="Q9" s="206">
        <v>0</v>
      </c>
      <c r="R9" s="349" t="s">
        <v>504</v>
      </c>
    </row>
    <row r="10" spans="1:18" s="352" customFormat="1" ht="30" customHeight="1" x14ac:dyDescent="0.25">
      <c r="A10" s="352" t="s">
        <v>417</v>
      </c>
      <c r="B10" s="353" t="s">
        <v>422</v>
      </c>
      <c r="C10" s="353" t="s">
        <v>429</v>
      </c>
      <c r="D10" s="206">
        <v>1</v>
      </c>
      <c r="E10" s="349" t="s">
        <v>503</v>
      </c>
      <c r="F10" s="206">
        <v>1</v>
      </c>
      <c r="G10" s="349" t="s">
        <v>503</v>
      </c>
      <c r="H10" s="206">
        <v>1</v>
      </c>
      <c r="I10" s="349" t="s">
        <v>503</v>
      </c>
      <c r="J10" s="334">
        <v>1</v>
      </c>
      <c r="K10" s="354">
        <v>0</v>
      </c>
      <c r="L10" s="352" t="s">
        <v>504</v>
      </c>
      <c r="M10" s="354">
        <v>0</v>
      </c>
      <c r="N10" s="352" t="s">
        <v>504</v>
      </c>
      <c r="O10" s="354">
        <v>0</v>
      </c>
      <c r="P10" s="352" t="s">
        <v>504</v>
      </c>
      <c r="Q10" s="354">
        <v>0</v>
      </c>
      <c r="R10" s="352" t="s">
        <v>504</v>
      </c>
    </row>
    <row r="11" spans="1:18" x14ac:dyDescent="0.25">
      <c r="A11" s="349" t="s">
        <v>417</v>
      </c>
      <c r="B11" s="4" t="s">
        <v>422</v>
      </c>
      <c r="C11" s="4" t="s">
        <v>430</v>
      </c>
      <c r="D11" s="206">
        <v>1</v>
      </c>
      <c r="E11" s="349" t="s">
        <v>503</v>
      </c>
      <c r="F11" s="206">
        <v>1</v>
      </c>
      <c r="G11" s="349" t="s">
        <v>503</v>
      </c>
      <c r="H11" s="206">
        <v>1</v>
      </c>
      <c r="I11" s="349" t="s">
        <v>503</v>
      </c>
      <c r="J11" s="334">
        <v>1</v>
      </c>
      <c r="K11" s="206">
        <v>0</v>
      </c>
      <c r="L11" s="349" t="s">
        <v>504</v>
      </c>
      <c r="M11" s="206">
        <v>0</v>
      </c>
      <c r="N11" s="349" t="s">
        <v>504</v>
      </c>
      <c r="O11" s="206">
        <v>0</v>
      </c>
      <c r="P11" s="349" t="s">
        <v>504</v>
      </c>
      <c r="Q11" s="206">
        <v>0</v>
      </c>
      <c r="R11" s="349" t="s">
        <v>504</v>
      </c>
    </row>
    <row r="12" spans="1:18" s="352" customFormat="1" ht="30" customHeight="1" x14ac:dyDescent="0.25">
      <c r="A12" s="352" t="s">
        <v>417</v>
      </c>
      <c r="B12" s="353" t="s">
        <v>422</v>
      </c>
      <c r="C12" s="353" t="s">
        <v>431</v>
      </c>
      <c r="D12" s="206">
        <v>1</v>
      </c>
      <c r="E12" s="349" t="s">
        <v>503</v>
      </c>
      <c r="F12" s="206">
        <v>1</v>
      </c>
      <c r="G12" s="349" t="s">
        <v>503</v>
      </c>
      <c r="H12" s="206">
        <v>1</v>
      </c>
      <c r="I12" s="349" t="s">
        <v>503</v>
      </c>
      <c r="J12" s="334">
        <v>1</v>
      </c>
      <c r="K12" s="354">
        <v>0</v>
      </c>
      <c r="L12" s="352" t="s">
        <v>504</v>
      </c>
      <c r="M12" s="354">
        <v>0</v>
      </c>
      <c r="N12" s="352" t="s">
        <v>504</v>
      </c>
      <c r="O12" s="354">
        <v>0</v>
      </c>
      <c r="P12" s="352" t="s">
        <v>504</v>
      </c>
      <c r="Q12" s="354">
        <v>0</v>
      </c>
      <c r="R12" s="352" t="s">
        <v>504</v>
      </c>
    </row>
    <row r="13" spans="1:18" x14ac:dyDescent="0.25">
      <c r="A13" s="349" t="s">
        <v>417</v>
      </c>
      <c r="B13" s="4" t="s">
        <v>422</v>
      </c>
      <c r="C13" s="4" t="s">
        <v>432</v>
      </c>
      <c r="D13" s="206">
        <v>1</v>
      </c>
      <c r="E13" s="349" t="s">
        <v>503</v>
      </c>
      <c r="F13" s="206">
        <v>1</v>
      </c>
      <c r="G13" s="349" t="s">
        <v>503</v>
      </c>
      <c r="H13" s="206">
        <v>1</v>
      </c>
      <c r="I13" s="349" t="s">
        <v>503</v>
      </c>
      <c r="J13" s="334">
        <v>1</v>
      </c>
      <c r="K13" s="206">
        <v>0</v>
      </c>
      <c r="L13" s="349" t="s">
        <v>504</v>
      </c>
      <c r="M13" s="206">
        <v>0</v>
      </c>
      <c r="N13" s="349" t="s">
        <v>504</v>
      </c>
      <c r="O13" s="206">
        <v>0</v>
      </c>
      <c r="P13" s="349" t="s">
        <v>504</v>
      </c>
      <c r="Q13" s="206">
        <v>0</v>
      </c>
      <c r="R13" s="349" t="s">
        <v>504</v>
      </c>
    </row>
    <row r="14" spans="1:18" s="352" customFormat="1" ht="30" customHeight="1" x14ac:dyDescent="0.25">
      <c r="A14" s="352" t="s">
        <v>417</v>
      </c>
      <c r="B14" s="353" t="s">
        <v>422</v>
      </c>
      <c r="C14" s="353" t="s">
        <v>433</v>
      </c>
      <c r="D14" s="206">
        <v>1</v>
      </c>
      <c r="E14" s="349" t="s">
        <v>503</v>
      </c>
      <c r="F14" s="206">
        <v>1</v>
      </c>
      <c r="G14" s="349" t="s">
        <v>503</v>
      </c>
      <c r="H14" s="206">
        <v>1</v>
      </c>
      <c r="I14" s="349" t="s">
        <v>503</v>
      </c>
      <c r="J14" s="334">
        <v>1</v>
      </c>
      <c r="K14" s="354">
        <v>0</v>
      </c>
      <c r="L14" s="352" t="s">
        <v>504</v>
      </c>
      <c r="M14" s="354">
        <v>0</v>
      </c>
      <c r="N14" s="352" t="s">
        <v>504</v>
      </c>
      <c r="O14" s="354">
        <v>0</v>
      </c>
      <c r="P14" s="352" t="s">
        <v>504</v>
      </c>
      <c r="Q14" s="354">
        <v>0</v>
      </c>
      <c r="R14" s="352" t="s">
        <v>504</v>
      </c>
    </row>
    <row r="15" spans="1:18" x14ac:dyDescent="0.25">
      <c r="A15" s="349" t="s">
        <v>417</v>
      </c>
      <c r="B15" s="4" t="s">
        <v>422</v>
      </c>
      <c r="C15" s="4" t="s">
        <v>434</v>
      </c>
      <c r="D15" s="206">
        <v>1</v>
      </c>
      <c r="E15" s="349" t="s">
        <v>503</v>
      </c>
      <c r="F15" s="206">
        <v>1</v>
      </c>
      <c r="G15" s="349" t="s">
        <v>503</v>
      </c>
      <c r="H15" s="206">
        <v>1</v>
      </c>
      <c r="I15" s="349" t="s">
        <v>503</v>
      </c>
      <c r="J15" s="334">
        <v>1</v>
      </c>
      <c r="K15" s="206">
        <v>0</v>
      </c>
      <c r="L15" s="349" t="s">
        <v>504</v>
      </c>
      <c r="M15" s="206">
        <v>0</v>
      </c>
      <c r="N15" s="349" t="s">
        <v>504</v>
      </c>
      <c r="O15" s="206">
        <v>0</v>
      </c>
      <c r="P15" s="349" t="s">
        <v>504</v>
      </c>
      <c r="Q15" s="206">
        <v>0</v>
      </c>
      <c r="R15" s="349" t="s">
        <v>504</v>
      </c>
    </row>
    <row r="16" spans="1:18" s="352" customFormat="1" ht="30" customHeight="1" x14ac:dyDescent="0.25">
      <c r="A16" s="352" t="s">
        <v>417</v>
      </c>
      <c r="B16" s="353" t="s">
        <v>422</v>
      </c>
      <c r="C16" s="353" t="s">
        <v>435</v>
      </c>
      <c r="D16" s="206">
        <v>1</v>
      </c>
      <c r="E16" s="349" t="s">
        <v>503</v>
      </c>
      <c r="F16" s="206">
        <v>1</v>
      </c>
      <c r="G16" s="349" t="s">
        <v>503</v>
      </c>
      <c r="H16" s="206">
        <v>1</v>
      </c>
      <c r="I16" s="349" t="s">
        <v>503</v>
      </c>
      <c r="J16" s="334">
        <v>1</v>
      </c>
      <c r="K16" s="354">
        <v>0</v>
      </c>
      <c r="L16" s="352" t="s">
        <v>504</v>
      </c>
      <c r="M16" s="354">
        <v>0</v>
      </c>
      <c r="N16" s="352" t="s">
        <v>504</v>
      </c>
      <c r="O16" s="354">
        <v>0</v>
      </c>
      <c r="P16" s="352" t="s">
        <v>504</v>
      </c>
      <c r="Q16" s="354">
        <v>0</v>
      </c>
      <c r="R16" s="352" t="s">
        <v>504</v>
      </c>
    </row>
    <row r="17" spans="1:18" x14ac:dyDescent="0.25">
      <c r="A17" s="349" t="s">
        <v>417</v>
      </c>
      <c r="B17" s="4" t="s">
        <v>422</v>
      </c>
      <c r="C17" s="4" t="s">
        <v>436</v>
      </c>
      <c r="D17" s="206">
        <v>1</v>
      </c>
      <c r="E17" s="349" t="s">
        <v>503</v>
      </c>
      <c r="F17" s="206">
        <v>1</v>
      </c>
      <c r="G17" s="349" t="s">
        <v>503</v>
      </c>
      <c r="H17" s="206">
        <v>1</v>
      </c>
      <c r="I17" s="349" t="s">
        <v>503</v>
      </c>
      <c r="J17" s="334">
        <v>1</v>
      </c>
      <c r="K17" s="206">
        <v>0</v>
      </c>
      <c r="L17" s="349" t="s">
        <v>504</v>
      </c>
      <c r="M17" s="206">
        <v>0</v>
      </c>
      <c r="N17" s="349" t="s">
        <v>504</v>
      </c>
      <c r="O17" s="206">
        <v>0</v>
      </c>
      <c r="P17" s="349" t="s">
        <v>504</v>
      </c>
      <c r="Q17" s="206">
        <v>0</v>
      </c>
      <c r="R17" s="349" t="s">
        <v>504</v>
      </c>
    </row>
    <row r="18" spans="1:18" s="352" customFormat="1" ht="30" customHeight="1" x14ac:dyDescent="0.25">
      <c r="A18" s="352" t="s">
        <v>417</v>
      </c>
      <c r="B18" s="353" t="s">
        <v>422</v>
      </c>
      <c r="C18" s="353" t="s">
        <v>437</v>
      </c>
      <c r="D18" s="206">
        <v>1</v>
      </c>
      <c r="E18" s="349" t="s">
        <v>503</v>
      </c>
      <c r="F18" s="206">
        <v>1</v>
      </c>
      <c r="G18" s="349" t="s">
        <v>503</v>
      </c>
      <c r="H18" s="206">
        <v>1</v>
      </c>
      <c r="I18" s="349" t="s">
        <v>503</v>
      </c>
      <c r="J18" s="334">
        <v>1</v>
      </c>
      <c r="K18" s="354">
        <v>0</v>
      </c>
      <c r="L18" s="352" t="s">
        <v>504</v>
      </c>
      <c r="M18" s="354">
        <v>0</v>
      </c>
      <c r="N18" s="352" t="s">
        <v>504</v>
      </c>
      <c r="O18" s="354">
        <v>0</v>
      </c>
      <c r="P18" s="352" t="s">
        <v>504</v>
      </c>
      <c r="Q18" s="354">
        <v>0</v>
      </c>
      <c r="R18" s="352" t="s">
        <v>504</v>
      </c>
    </row>
    <row r="19" spans="1:18" x14ac:dyDescent="0.25">
      <c r="A19" s="349" t="s">
        <v>417</v>
      </c>
      <c r="B19" s="4" t="s">
        <v>422</v>
      </c>
      <c r="C19" s="4" t="s">
        <v>502</v>
      </c>
      <c r="D19" s="206">
        <v>1</v>
      </c>
      <c r="E19" s="349" t="s">
        <v>503</v>
      </c>
      <c r="F19" s="206">
        <v>1</v>
      </c>
      <c r="G19" s="349" t="s">
        <v>503</v>
      </c>
      <c r="H19" s="206">
        <v>1</v>
      </c>
      <c r="I19" s="349" t="s">
        <v>503</v>
      </c>
      <c r="J19" s="334">
        <v>1</v>
      </c>
      <c r="K19" s="206">
        <v>0</v>
      </c>
      <c r="L19" s="349" t="s">
        <v>504</v>
      </c>
      <c r="M19" s="206">
        <v>0</v>
      </c>
      <c r="N19" s="349" t="s">
        <v>504</v>
      </c>
      <c r="O19" s="206">
        <v>0</v>
      </c>
      <c r="P19" s="349" t="s">
        <v>504</v>
      </c>
      <c r="Q19" s="206">
        <v>0</v>
      </c>
      <c r="R19" s="349" t="s">
        <v>504</v>
      </c>
    </row>
    <row r="20" spans="1:18" x14ac:dyDescent="0.25">
      <c r="B20" s="4"/>
      <c r="C20" s="4"/>
      <c r="D20" s="206"/>
      <c r="F20" s="206"/>
      <c r="H20" s="206"/>
      <c r="J20" s="334"/>
      <c r="K20" s="206"/>
      <c r="M20" s="206"/>
      <c r="O20" s="206"/>
      <c r="Q20" s="206"/>
    </row>
    <row r="21" spans="1:18" x14ac:dyDescent="0.25">
      <c r="A21" s="349" t="s">
        <v>417</v>
      </c>
      <c r="B21" s="4" t="s">
        <v>438</v>
      </c>
      <c r="C21" s="4" t="s">
        <v>482</v>
      </c>
      <c r="D21" s="206">
        <v>1</v>
      </c>
      <c r="E21" s="349" t="s">
        <v>503</v>
      </c>
      <c r="F21" s="206">
        <v>1</v>
      </c>
      <c r="G21" s="349" t="s">
        <v>503</v>
      </c>
      <c r="H21" s="206">
        <v>1</v>
      </c>
      <c r="I21" s="349" t="s">
        <v>503</v>
      </c>
      <c r="J21" s="334">
        <v>1</v>
      </c>
      <c r="K21" s="206">
        <v>0</v>
      </c>
      <c r="L21" s="349" t="s">
        <v>504</v>
      </c>
      <c r="M21" s="206">
        <v>0</v>
      </c>
      <c r="N21" s="349" t="s">
        <v>504</v>
      </c>
      <c r="O21" s="206">
        <v>0</v>
      </c>
      <c r="P21" s="349" t="s">
        <v>504</v>
      </c>
      <c r="Q21" s="206">
        <v>0</v>
      </c>
      <c r="R21" s="349" t="s">
        <v>504</v>
      </c>
    </row>
    <row r="22" spans="1:18" x14ac:dyDescent="0.25">
      <c r="A22" s="349" t="s">
        <v>417</v>
      </c>
      <c r="B22" s="4" t="s">
        <v>438</v>
      </c>
      <c r="C22" s="4" t="s">
        <v>439</v>
      </c>
      <c r="D22" s="206">
        <v>1</v>
      </c>
      <c r="E22" s="349" t="s">
        <v>503</v>
      </c>
      <c r="F22" s="206">
        <v>1</v>
      </c>
      <c r="G22" s="349" t="s">
        <v>503</v>
      </c>
      <c r="H22" s="206">
        <v>1</v>
      </c>
      <c r="I22" s="349" t="s">
        <v>503</v>
      </c>
      <c r="J22" s="334">
        <v>1</v>
      </c>
      <c r="K22" s="206">
        <v>0</v>
      </c>
      <c r="L22" s="349" t="s">
        <v>504</v>
      </c>
      <c r="M22" s="206">
        <v>0</v>
      </c>
      <c r="N22" s="349" t="s">
        <v>504</v>
      </c>
      <c r="O22" s="206">
        <v>0</v>
      </c>
      <c r="P22" s="349" t="s">
        <v>504</v>
      </c>
      <c r="Q22" s="206">
        <v>0</v>
      </c>
      <c r="R22" s="349" t="s">
        <v>504</v>
      </c>
    </row>
    <row r="23" spans="1:18" x14ac:dyDescent="0.25">
      <c r="A23" s="349" t="s">
        <v>417</v>
      </c>
      <c r="B23" s="4" t="s">
        <v>438</v>
      </c>
      <c r="C23" s="4" t="s">
        <v>440</v>
      </c>
      <c r="D23" s="206">
        <v>1</v>
      </c>
      <c r="E23" s="349" t="s">
        <v>503</v>
      </c>
      <c r="F23" s="206">
        <v>1</v>
      </c>
      <c r="G23" s="349" t="s">
        <v>503</v>
      </c>
      <c r="H23" s="206">
        <v>1</v>
      </c>
      <c r="I23" s="349" t="s">
        <v>503</v>
      </c>
      <c r="J23" s="334">
        <v>1</v>
      </c>
      <c r="K23" s="206">
        <v>0</v>
      </c>
      <c r="L23" s="349" t="s">
        <v>504</v>
      </c>
      <c r="M23" s="206">
        <v>0</v>
      </c>
      <c r="N23" s="349" t="s">
        <v>504</v>
      </c>
      <c r="O23" s="206">
        <v>0</v>
      </c>
      <c r="P23" s="349" t="s">
        <v>504</v>
      </c>
      <c r="Q23" s="206">
        <v>0</v>
      </c>
      <c r="R23" s="349" t="s">
        <v>504</v>
      </c>
    </row>
    <row r="24" spans="1:18" x14ac:dyDescent="0.25">
      <c r="A24" s="349" t="s">
        <v>417</v>
      </c>
      <c r="B24" s="4" t="s">
        <v>438</v>
      </c>
      <c r="C24" s="4" t="s">
        <v>441</v>
      </c>
      <c r="D24" s="206">
        <v>1</v>
      </c>
      <c r="E24" s="349" t="s">
        <v>503</v>
      </c>
      <c r="F24" s="206">
        <v>1</v>
      </c>
      <c r="G24" s="349" t="s">
        <v>503</v>
      </c>
      <c r="H24" s="206">
        <v>1</v>
      </c>
      <c r="I24" s="349" t="s">
        <v>503</v>
      </c>
      <c r="J24" s="334">
        <v>1</v>
      </c>
      <c r="K24" s="206">
        <v>0</v>
      </c>
      <c r="L24" s="349" t="s">
        <v>504</v>
      </c>
      <c r="M24" s="206">
        <v>0</v>
      </c>
      <c r="N24" s="349" t="s">
        <v>504</v>
      </c>
      <c r="O24" s="206">
        <v>0</v>
      </c>
      <c r="P24" s="349" t="s">
        <v>504</v>
      </c>
      <c r="Q24" s="206">
        <v>0</v>
      </c>
      <c r="R24" s="349" t="s">
        <v>504</v>
      </c>
    </row>
    <row r="25" spans="1:18" x14ac:dyDescent="0.25">
      <c r="B25" s="4"/>
      <c r="C25" s="4"/>
      <c r="D25" s="206"/>
      <c r="F25" s="206"/>
      <c r="H25" s="206"/>
      <c r="J25" s="334"/>
      <c r="K25" s="206"/>
      <c r="M25" s="206"/>
      <c r="O25" s="206"/>
      <c r="Q25" s="206"/>
    </row>
    <row r="26" spans="1:18" x14ac:dyDescent="0.25">
      <c r="A26" s="349" t="s">
        <v>423</v>
      </c>
      <c r="B26" s="349" t="s">
        <v>424</v>
      </c>
      <c r="C26" s="349" t="s">
        <v>425</v>
      </c>
      <c r="D26" s="206">
        <v>0</v>
      </c>
      <c r="E26" s="349" t="s">
        <v>503</v>
      </c>
      <c r="F26" s="206">
        <v>0</v>
      </c>
      <c r="G26" s="349" t="s">
        <v>503</v>
      </c>
      <c r="H26" s="206">
        <v>0</v>
      </c>
      <c r="I26" s="349" t="s">
        <v>503</v>
      </c>
      <c r="J26" s="334">
        <v>0</v>
      </c>
      <c r="K26" s="206">
        <v>0.5</v>
      </c>
      <c r="L26" s="349" t="s">
        <v>505</v>
      </c>
      <c r="M26" s="206">
        <v>1.0000000000000001E-5</v>
      </c>
      <c r="N26" s="349" t="s">
        <v>505</v>
      </c>
      <c r="O26" s="208">
        <v>0.05</v>
      </c>
      <c r="P26" s="209" t="s">
        <v>445</v>
      </c>
      <c r="Q26" s="208">
        <v>0.01</v>
      </c>
      <c r="R26" s="209" t="s">
        <v>445</v>
      </c>
    </row>
    <row r="27" spans="1:18" x14ac:dyDescent="0.25">
      <c r="A27" s="349" t="s">
        <v>423</v>
      </c>
      <c r="B27" s="349" t="s">
        <v>424</v>
      </c>
      <c r="C27" s="349" t="s">
        <v>426</v>
      </c>
      <c r="D27" s="206">
        <v>0</v>
      </c>
      <c r="E27" s="349" t="s">
        <v>503</v>
      </c>
      <c r="F27" s="206">
        <v>0</v>
      </c>
      <c r="G27" s="349" t="s">
        <v>503</v>
      </c>
      <c r="H27" s="206">
        <v>0</v>
      </c>
      <c r="I27" s="349" t="s">
        <v>503</v>
      </c>
      <c r="J27" s="334">
        <v>0</v>
      </c>
      <c r="K27" s="206">
        <v>0.75</v>
      </c>
      <c r="L27" s="349" t="s">
        <v>505</v>
      </c>
      <c r="M27" s="206">
        <v>1.0000000000000001E-5</v>
      </c>
      <c r="N27" s="349" t="s">
        <v>505</v>
      </c>
      <c r="O27" s="208">
        <v>0.08</v>
      </c>
      <c r="P27" s="209" t="s">
        <v>445</v>
      </c>
      <c r="Q27" s="208">
        <v>0.02</v>
      </c>
      <c r="R27" s="209" t="s">
        <v>445</v>
      </c>
    </row>
    <row r="28" spans="1:18" x14ac:dyDescent="0.25">
      <c r="D28" s="206"/>
      <c r="F28" s="206"/>
      <c r="H28" s="206"/>
      <c r="J28" s="334"/>
      <c r="K28" s="206"/>
      <c r="M28" s="206"/>
      <c r="O28" s="206"/>
      <c r="Q28" s="206"/>
    </row>
    <row r="29" spans="1:18" x14ac:dyDescent="0.25">
      <c r="A29" s="349" t="s">
        <v>417</v>
      </c>
      <c r="B29" s="349" t="s">
        <v>446</v>
      </c>
      <c r="C29" s="349" t="s">
        <v>448</v>
      </c>
      <c r="D29" s="206">
        <v>1</v>
      </c>
      <c r="E29" s="349" t="s">
        <v>503</v>
      </c>
      <c r="F29" s="206">
        <v>1</v>
      </c>
      <c r="G29" s="349" t="s">
        <v>503</v>
      </c>
      <c r="H29" s="206">
        <v>1</v>
      </c>
      <c r="I29" s="349" t="s">
        <v>503</v>
      </c>
      <c r="J29" s="334">
        <v>0.5</v>
      </c>
      <c r="K29" s="206">
        <v>0</v>
      </c>
      <c r="L29" s="349" t="s">
        <v>504</v>
      </c>
      <c r="M29" s="206">
        <v>0</v>
      </c>
      <c r="N29" s="349" t="s">
        <v>504</v>
      </c>
      <c r="O29" s="206">
        <v>0</v>
      </c>
      <c r="P29" s="349" t="s">
        <v>504</v>
      </c>
      <c r="Q29" s="206">
        <v>0</v>
      </c>
      <c r="R29" s="349" t="s">
        <v>504</v>
      </c>
    </row>
    <row r="30" spans="1:18" x14ac:dyDescent="0.25">
      <c r="A30" s="349" t="s">
        <v>417</v>
      </c>
      <c r="B30" s="349" t="s">
        <v>446</v>
      </c>
      <c r="C30" s="349" t="s">
        <v>447</v>
      </c>
      <c r="D30" s="206">
        <v>1</v>
      </c>
      <c r="E30" s="349" t="s">
        <v>503</v>
      </c>
      <c r="F30" s="206">
        <v>1</v>
      </c>
      <c r="G30" s="349" t="s">
        <v>503</v>
      </c>
      <c r="H30" s="206">
        <v>1</v>
      </c>
      <c r="I30" s="349" t="s">
        <v>503</v>
      </c>
      <c r="J30" s="334">
        <v>0.75</v>
      </c>
      <c r="K30" s="206">
        <v>0</v>
      </c>
      <c r="L30" s="349" t="s">
        <v>504</v>
      </c>
      <c r="M30" s="206">
        <v>0</v>
      </c>
      <c r="N30" s="349" t="s">
        <v>504</v>
      </c>
      <c r="O30" s="206">
        <v>0</v>
      </c>
      <c r="P30" s="349" t="s">
        <v>504</v>
      </c>
      <c r="Q30" s="206">
        <v>0</v>
      </c>
      <c r="R30" s="349" t="s">
        <v>504</v>
      </c>
    </row>
    <row r="31" spans="1:18" x14ac:dyDescent="0.25">
      <c r="D31" s="206"/>
      <c r="F31" s="206"/>
      <c r="H31" s="206"/>
      <c r="J31" s="334"/>
      <c r="K31" s="206"/>
      <c r="M31" s="206"/>
      <c r="O31" s="206"/>
      <c r="Q31" s="206"/>
    </row>
    <row r="32" spans="1:18" x14ac:dyDescent="0.25">
      <c r="A32" s="349" t="s">
        <v>423</v>
      </c>
      <c r="B32" s="207" t="s">
        <v>483</v>
      </c>
      <c r="C32" s="349" t="s">
        <v>449</v>
      </c>
      <c r="D32" s="206">
        <v>1</v>
      </c>
      <c r="E32" s="349" t="s">
        <v>503</v>
      </c>
      <c r="F32" s="206">
        <v>1</v>
      </c>
      <c r="G32" s="349" t="s">
        <v>503</v>
      </c>
      <c r="H32" s="206">
        <v>1</v>
      </c>
      <c r="I32" s="349" t="s">
        <v>503</v>
      </c>
      <c r="J32" s="334">
        <v>0</v>
      </c>
      <c r="K32" s="206">
        <v>0</v>
      </c>
      <c r="L32" s="349" t="s">
        <v>505</v>
      </c>
      <c r="M32" s="206">
        <v>0</v>
      </c>
      <c r="N32" s="349" t="s">
        <v>505</v>
      </c>
      <c r="O32" s="206">
        <v>0</v>
      </c>
      <c r="P32" s="349" t="s">
        <v>445</v>
      </c>
      <c r="Q32" s="206">
        <v>0</v>
      </c>
      <c r="R32" s="349" t="s">
        <v>445</v>
      </c>
    </row>
    <row r="33" spans="1:18" x14ac:dyDescent="0.25">
      <c r="A33" s="349" t="s">
        <v>423</v>
      </c>
      <c r="B33" s="207" t="s">
        <v>483</v>
      </c>
      <c r="C33" s="349" t="s">
        <v>450</v>
      </c>
      <c r="D33" s="206">
        <v>1</v>
      </c>
      <c r="E33" s="349" t="s">
        <v>503</v>
      </c>
      <c r="F33" s="206">
        <v>1</v>
      </c>
      <c r="G33" s="349" t="s">
        <v>503</v>
      </c>
      <c r="H33" s="206">
        <v>1</v>
      </c>
      <c r="I33" s="349" t="s">
        <v>503</v>
      </c>
      <c r="J33" s="334">
        <v>0</v>
      </c>
      <c r="K33" s="206">
        <v>0</v>
      </c>
      <c r="L33" s="349" t="s">
        <v>505</v>
      </c>
      <c r="M33" s="206">
        <v>0</v>
      </c>
      <c r="N33" s="349" t="s">
        <v>505</v>
      </c>
      <c r="O33" s="206">
        <v>0</v>
      </c>
      <c r="P33" s="349" t="s">
        <v>445</v>
      </c>
      <c r="Q33" s="206">
        <v>0</v>
      </c>
      <c r="R33" s="349" t="s">
        <v>445</v>
      </c>
    </row>
    <row r="34" spans="1:18" x14ac:dyDescent="0.25">
      <c r="A34" s="349" t="s">
        <v>423</v>
      </c>
      <c r="B34" s="207" t="s">
        <v>483</v>
      </c>
      <c r="C34" s="349" t="s">
        <v>484</v>
      </c>
      <c r="D34" s="206">
        <v>1</v>
      </c>
      <c r="E34" s="349" t="s">
        <v>503</v>
      </c>
      <c r="F34" s="206">
        <v>1</v>
      </c>
      <c r="G34" s="349" t="s">
        <v>503</v>
      </c>
      <c r="H34" s="206">
        <v>1</v>
      </c>
      <c r="I34" s="349" t="s">
        <v>503</v>
      </c>
      <c r="J34" s="334">
        <v>0</v>
      </c>
      <c r="K34" s="206">
        <v>0</v>
      </c>
      <c r="L34" s="349" t="s">
        <v>505</v>
      </c>
      <c r="M34" s="206">
        <v>0</v>
      </c>
      <c r="N34" s="349" t="s">
        <v>505</v>
      </c>
      <c r="O34" s="206">
        <v>0</v>
      </c>
      <c r="P34" s="349" t="s">
        <v>445</v>
      </c>
      <c r="Q34" s="206">
        <v>0</v>
      </c>
      <c r="R34" s="349" t="s">
        <v>445</v>
      </c>
    </row>
    <row r="35" spans="1:18" x14ac:dyDescent="0.25">
      <c r="D35" s="206"/>
      <c r="F35" s="206"/>
      <c r="H35" s="206"/>
      <c r="J35" s="334"/>
      <c r="K35" s="206"/>
      <c r="M35" s="206"/>
      <c r="O35" s="206"/>
      <c r="Q35" s="206"/>
    </row>
    <row r="36" spans="1:18" x14ac:dyDescent="0.25">
      <c r="A36" s="349" t="s">
        <v>423</v>
      </c>
      <c r="B36" s="349" t="s">
        <v>451</v>
      </c>
      <c r="C36" s="344" t="s">
        <v>590</v>
      </c>
      <c r="D36" s="206">
        <v>1</v>
      </c>
      <c r="E36" s="349" t="s">
        <v>503</v>
      </c>
      <c r="F36" s="206">
        <v>1</v>
      </c>
      <c r="G36" s="349" t="s">
        <v>503</v>
      </c>
      <c r="H36" s="206">
        <v>1</v>
      </c>
      <c r="I36" s="349" t="s">
        <v>503</v>
      </c>
      <c r="J36" s="334">
        <v>0</v>
      </c>
      <c r="K36" s="206">
        <v>0.96025000000000005</v>
      </c>
      <c r="L36" s="349" t="s">
        <v>505</v>
      </c>
      <c r="M36" s="206">
        <v>0.96025000000000005</v>
      </c>
      <c r="N36" s="349" t="s">
        <v>505</v>
      </c>
      <c r="O36" s="206">
        <v>9.1999999999999998E-2</v>
      </c>
      <c r="P36" s="209" t="s">
        <v>445</v>
      </c>
      <c r="Q36" s="208">
        <v>8.9999999999999993E-3</v>
      </c>
      <c r="R36" s="209" t="s">
        <v>445</v>
      </c>
    </row>
    <row r="37" spans="1:18" x14ac:dyDescent="0.25">
      <c r="A37" s="349" t="s">
        <v>423</v>
      </c>
      <c r="B37" s="349" t="s">
        <v>451</v>
      </c>
      <c r="C37" s="349" t="s">
        <v>591</v>
      </c>
      <c r="D37" s="206">
        <v>1</v>
      </c>
      <c r="E37" s="349" t="s">
        <v>503</v>
      </c>
      <c r="F37" s="206">
        <v>1</v>
      </c>
      <c r="G37" s="349" t="s">
        <v>503</v>
      </c>
      <c r="H37" s="206">
        <v>1</v>
      </c>
      <c r="I37" s="349" t="s">
        <v>503</v>
      </c>
      <c r="J37" s="334">
        <v>0</v>
      </c>
      <c r="K37" s="206">
        <v>0.80969999999999998</v>
      </c>
      <c r="L37" s="349" t="s">
        <v>505</v>
      </c>
      <c r="M37" s="206">
        <v>0.80969999999999998</v>
      </c>
      <c r="N37" s="349" t="s">
        <v>505</v>
      </c>
      <c r="O37" s="206">
        <v>7.3999999999999996E-2</v>
      </c>
      <c r="P37" s="209" t="s">
        <v>445</v>
      </c>
      <c r="Q37" s="208">
        <v>7.0000000000000001E-3</v>
      </c>
      <c r="R37" s="209" t="s">
        <v>445</v>
      </c>
    </row>
    <row r="38" spans="1:18" x14ac:dyDescent="0.25">
      <c r="A38" s="349" t="s">
        <v>423</v>
      </c>
      <c r="B38" s="349" t="s">
        <v>451</v>
      </c>
      <c r="C38" s="349" t="s">
        <v>592</v>
      </c>
      <c r="D38" s="206">
        <v>1</v>
      </c>
      <c r="E38" s="349" t="s">
        <v>503</v>
      </c>
      <c r="F38" s="206">
        <v>1</v>
      </c>
      <c r="G38" s="349" t="s">
        <v>503</v>
      </c>
      <c r="H38" s="206">
        <v>1</v>
      </c>
      <c r="I38" s="349" t="s">
        <v>503</v>
      </c>
      <c r="J38" s="334">
        <v>0</v>
      </c>
      <c r="K38" s="206">
        <v>0.62590000000000001</v>
      </c>
      <c r="L38" s="349" t="s">
        <v>505</v>
      </c>
      <c r="M38" s="206">
        <v>0.62590000000000001</v>
      </c>
      <c r="N38" s="349" t="s">
        <v>505</v>
      </c>
      <c r="O38" s="206">
        <v>5.8000000000000003E-2</v>
      </c>
      <c r="P38" s="209" t="s">
        <v>445</v>
      </c>
      <c r="Q38" s="208">
        <v>6.0000000000000001E-3</v>
      </c>
      <c r="R38" s="209" t="s">
        <v>445</v>
      </c>
    </row>
    <row r="39" spans="1:18" x14ac:dyDescent="0.25">
      <c r="A39" s="349" t="s">
        <v>423</v>
      </c>
      <c r="B39" s="349" t="s">
        <v>451</v>
      </c>
      <c r="C39" s="349" t="s">
        <v>593</v>
      </c>
      <c r="D39" s="206">
        <v>1</v>
      </c>
      <c r="E39" s="349" t="s">
        <v>503</v>
      </c>
      <c r="F39" s="206">
        <v>1</v>
      </c>
      <c r="G39" s="349" t="s">
        <v>503</v>
      </c>
      <c r="H39" s="206">
        <v>1</v>
      </c>
      <c r="I39" s="349" t="s">
        <v>503</v>
      </c>
      <c r="J39" s="334">
        <v>0</v>
      </c>
      <c r="K39" s="206">
        <v>0.50849999999999995</v>
      </c>
      <c r="L39" s="349" t="s">
        <v>505</v>
      </c>
      <c r="M39" s="206">
        <v>0.50849999999999995</v>
      </c>
      <c r="N39" s="349" t="s">
        <v>505</v>
      </c>
      <c r="O39" s="206">
        <v>4.8000000000000001E-2</v>
      </c>
      <c r="P39" s="209" t="s">
        <v>445</v>
      </c>
      <c r="Q39" s="208">
        <v>4.7999999999999996E-3</v>
      </c>
      <c r="R39" s="209" t="s">
        <v>445</v>
      </c>
    </row>
    <row r="40" spans="1:18" x14ac:dyDescent="0.25">
      <c r="D40" s="206"/>
      <c r="F40" s="206"/>
      <c r="H40" s="206"/>
      <c r="J40" s="334"/>
      <c r="K40" s="206"/>
      <c r="M40" s="206"/>
      <c r="O40" s="206"/>
      <c r="Q40" s="206"/>
    </row>
    <row r="41" spans="1:18" x14ac:dyDescent="0.25">
      <c r="A41" s="349" t="s">
        <v>423</v>
      </c>
      <c r="B41" s="349" t="s">
        <v>452</v>
      </c>
      <c r="C41" s="349" t="s">
        <v>453</v>
      </c>
      <c r="D41" s="206">
        <v>1</v>
      </c>
      <c r="E41" s="349" t="s">
        <v>503</v>
      </c>
      <c r="F41" s="206">
        <v>1</v>
      </c>
      <c r="G41" s="349" t="s">
        <v>503</v>
      </c>
      <c r="H41" s="206">
        <v>1</v>
      </c>
      <c r="I41" s="349" t="s">
        <v>503</v>
      </c>
      <c r="J41" s="334">
        <v>0</v>
      </c>
      <c r="K41" s="206">
        <v>0.5</v>
      </c>
      <c r="L41" s="349" t="s">
        <v>505</v>
      </c>
      <c r="M41" s="206">
        <v>0.25</v>
      </c>
      <c r="N41" s="349" t="s">
        <v>505</v>
      </c>
      <c r="O41" s="208">
        <v>5.0000000000000001E-3</v>
      </c>
      <c r="P41" s="209" t="s">
        <v>445</v>
      </c>
      <c r="Q41" s="208">
        <v>0</v>
      </c>
      <c r="R41" s="209" t="s">
        <v>445</v>
      </c>
    </row>
    <row r="42" spans="1:18" x14ac:dyDescent="0.25">
      <c r="A42" s="349" t="s">
        <v>423</v>
      </c>
      <c r="B42" s="349" t="s">
        <v>452</v>
      </c>
      <c r="C42" s="349" t="s">
        <v>454</v>
      </c>
      <c r="D42" s="206">
        <v>1</v>
      </c>
      <c r="E42" s="349" t="s">
        <v>503</v>
      </c>
      <c r="F42" s="206">
        <v>1</v>
      </c>
      <c r="G42" s="349" t="s">
        <v>503</v>
      </c>
      <c r="H42" s="206">
        <v>1</v>
      </c>
      <c r="I42" s="349" t="s">
        <v>503</v>
      </c>
      <c r="J42" s="334">
        <v>0</v>
      </c>
      <c r="K42" s="206">
        <v>0.2</v>
      </c>
      <c r="L42" s="349" t="s">
        <v>505</v>
      </c>
      <c r="M42" s="206">
        <v>0.1</v>
      </c>
      <c r="N42" s="349" t="s">
        <v>505</v>
      </c>
      <c r="O42" s="208">
        <v>2E-3</v>
      </c>
      <c r="P42" s="209" t="s">
        <v>445</v>
      </c>
      <c r="Q42" s="208">
        <v>0</v>
      </c>
      <c r="R42" s="209" t="s">
        <v>445</v>
      </c>
    </row>
    <row r="43" spans="1:18" x14ac:dyDescent="0.25">
      <c r="D43" s="206"/>
      <c r="F43" s="206"/>
      <c r="H43" s="206"/>
      <c r="J43" s="334"/>
      <c r="K43" s="206"/>
      <c r="M43" s="206"/>
      <c r="O43" s="206"/>
      <c r="Q43" s="206"/>
    </row>
    <row r="44" spans="1:18" x14ac:dyDescent="0.25">
      <c r="A44" s="349" t="s">
        <v>423</v>
      </c>
      <c r="B44" s="349" t="s">
        <v>455</v>
      </c>
      <c r="C44" s="349" t="s">
        <v>552</v>
      </c>
      <c r="D44" s="206">
        <v>1</v>
      </c>
      <c r="E44" s="349" t="s">
        <v>503</v>
      </c>
      <c r="F44" s="206">
        <v>1</v>
      </c>
      <c r="G44" s="349" t="s">
        <v>503</v>
      </c>
      <c r="H44" s="206">
        <v>1</v>
      </c>
      <c r="I44" s="349" t="s">
        <v>503</v>
      </c>
      <c r="J44" s="334">
        <v>0</v>
      </c>
      <c r="K44" s="206">
        <v>0.25</v>
      </c>
      <c r="L44" s="349" t="s">
        <v>505</v>
      </c>
      <c r="M44" s="206">
        <v>0.1</v>
      </c>
      <c r="N44" s="349" t="s">
        <v>505</v>
      </c>
      <c r="O44" s="206">
        <v>0.1</v>
      </c>
      <c r="P44" s="349" t="s">
        <v>506</v>
      </c>
      <c r="Q44" s="206">
        <v>0.01</v>
      </c>
      <c r="R44" s="349" t="s">
        <v>506</v>
      </c>
    </row>
    <row r="45" spans="1:18" x14ac:dyDescent="0.25">
      <c r="A45" s="349" t="s">
        <v>423</v>
      </c>
      <c r="B45" s="349" t="s">
        <v>455</v>
      </c>
      <c r="C45" s="349" t="s">
        <v>551</v>
      </c>
      <c r="D45" s="206">
        <v>1</v>
      </c>
      <c r="E45" s="349" t="s">
        <v>503</v>
      </c>
      <c r="F45" s="206">
        <v>1</v>
      </c>
      <c r="G45" s="349" t="s">
        <v>503</v>
      </c>
      <c r="H45" s="206">
        <v>1</v>
      </c>
      <c r="I45" s="349" t="s">
        <v>503</v>
      </c>
      <c r="J45" s="334">
        <v>0</v>
      </c>
      <c r="K45" s="206">
        <v>0.3</v>
      </c>
      <c r="L45" s="349" t="s">
        <v>505</v>
      </c>
      <c r="M45" s="206">
        <v>0.15</v>
      </c>
      <c r="N45" s="349" t="s">
        <v>505</v>
      </c>
      <c r="O45" s="206">
        <v>0.1</v>
      </c>
      <c r="P45" s="349" t="s">
        <v>506</v>
      </c>
      <c r="Q45" s="206">
        <v>0.01</v>
      </c>
      <c r="R45" s="349" t="s">
        <v>506</v>
      </c>
    </row>
    <row r="46" spans="1:18" x14ac:dyDescent="0.25">
      <c r="A46" s="349" t="s">
        <v>423</v>
      </c>
      <c r="B46" s="349" t="s">
        <v>455</v>
      </c>
      <c r="C46" s="349" t="s">
        <v>553</v>
      </c>
      <c r="D46" s="206">
        <v>1</v>
      </c>
      <c r="E46" s="349" t="s">
        <v>503</v>
      </c>
      <c r="F46" s="206">
        <v>1</v>
      </c>
      <c r="G46" s="349" t="s">
        <v>503</v>
      </c>
      <c r="H46" s="206">
        <v>1</v>
      </c>
      <c r="I46" s="349" t="s">
        <v>503</v>
      </c>
      <c r="J46" s="334">
        <v>0</v>
      </c>
      <c r="K46" s="206">
        <v>0.4</v>
      </c>
      <c r="L46" s="349" t="s">
        <v>505</v>
      </c>
      <c r="M46" s="206">
        <v>0.2</v>
      </c>
      <c r="N46" s="349" t="s">
        <v>505</v>
      </c>
      <c r="O46" s="206">
        <v>0.1</v>
      </c>
      <c r="P46" s="349" t="s">
        <v>506</v>
      </c>
      <c r="Q46" s="206">
        <v>0.01</v>
      </c>
      <c r="R46" s="349" t="s">
        <v>506</v>
      </c>
    </row>
    <row r="47" spans="1:18" x14ac:dyDescent="0.25">
      <c r="A47" s="349" t="s">
        <v>423</v>
      </c>
      <c r="B47" s="349" t="s">
        <v>455</v>
      </c>
      <c r="C47" s="349" t="s">
        <v>554</v>
      </c>
      <c r="D47" s="206">
        <v>1</v>
      </c>
      <c r="E47" s="349" t="s">
        <v>503</v>
      </c>
      <c r="F47" s="206">
        <v>1</v>
      </c>
      <c r="G47" s="349" t="s">
        <v>503</v>
      </c>
      <c r="H47" s="206">
        <v>1</v>
      </c>
      <c r="I47" s="349" t="s">
        <v>503</v>
      </c>
      <c r="J47" s="334">
        <v>0</v>
      </c>
      <c r="K47" s="206">
        <v>0.5</v>
      </c>
      <c r="L47" s="349" t="s">
        <v>505</v>
      </c>
      <c r="M47" s="206">
        <v>0.2</v>
      </c>
      <c r="N47" s="349" t="s">
        <v>505</v>
      </c>
      <c r="O47" s="206">
        <v>0.1</v>
      </c>
      <c r="P47" s="349" t="s">
        <v>506</v>
      </c>
      <c r="Q47" s="206">
        <v>0.01</v>
      </c>
      <c r="R47" s="349" t="s">
        <v>506</v>
      </c>
    </row>
    <row r="48" spans="1:18" x14ac:dyDescent="0.25">
      <c r="A48" s="349" t="s">
        <v>423</v>
      </c>
      <c r="B48" s="349" t="s">
        <v>455</v>
      </c>
      <c r="C48" s="349" t="s">
        <v>555</v>
      </c>
      <c r="D48" s="206">
        <v>1</v>
      </c>
      <c r="E48" s="349" t="s">
        <v>503</v>
      </c>
      <c r="F48" s="206">
        <v>1</v>
      </c>
      <c r="G48" s="349" t="s">
        <v>503</v>
      </c>
      <c r="H48" s="206">
        <v>1</v>
      </c>
      <c r="I48" s="349" t="s">
        <v>503</v>
      </c>
      <c r="J48" s="334">
        <v>0</v>
      </c>
      <c r="K48" s="206">
        <v>0.6</v>
      </c>
      <c r="L48" s="349" t="s">
        <v>505</v>
      </c>
      <c r="M48" s="206">
        <v>0.3</v>
      </c>
      <c r="N48" s="349" t="s">
        <v>505</v>
      </c>
      <c r="O48" s="206">
        <v>0.1</v>
      </c>
      <c r="P48" s="349" t="s">
        <v>506</v>
      </c>
      <c r="Q48" s="206">
        <v>0.01</v>
      </c>
      <c r="R48" s="349" t="s">
        <v>506</v>
      </c>
    </row>
    <row r="49" spans="1:18" x14ac:dyDescent="0.25">
      <c r="A49" s="349" t="s">
        <v>423</v>
      </c>
      <c r="B49" s="349" t="s">
        <v>455</v>
      </c>
      <c r="C49" s="349" t="s">
        <v>556</v>
      </c>
      <c r="D49" s="206">
        <v>1</v>
      </c>
      <c r="E49" s="349" t="s">
        <v>503</v>
      </c>
      <c r="F49" s="206">
        <v>1</v>
      </c>
      <c r="G49" s="349" t="s">
        <v>503</v>
      </c>
      <c r="H49" s="206">
        <v>1</v>
      </c>
      <c r="I49" s="349" t="s">
        <v>503</v>
      </c>
      <c r="J49" s="334">
        <v>0</v>
      </c>
      <c r="K49" s="206">
        <v>0.65</v>
      </c>
      <c r="L49" s="349" t="s">
        <v>505</v>
      </c>
      <c r="M49" s="206">
        <v>0.4</v>
      </c>
      <c r="N49" s="349" t="s">
        <v>505</v>
      </c>
      <c r="O49" s="206">
        <v>0.1</v>
      </c>
      <c r="P49" s="349" t="s">
        <v>506</v>
      </c>
      <c r="Q49" s="206">
        <v>0.01</v>
      </c>
      <c r="R49" s="349" t="s">
        <v>506</v>
      </c>
    </row>
    <row r="50" spans="1:18" x14ac:dyDescent="0.25">
      <c r="D50" s="206"/>
      <c r="F50" s="206"/>
      <c r="H50" s="206"/>
      <c r="J50" s="334"/>
      <c r="K50" s="206"/>
      <c r="M50" s="206"/>
      <c r="O50" s="206"/>
      <c r="Q50" s="206"/>
    </row>
    <row r="51" spans="1:18" x14ac:dyDescent="0.25">
      <c r="A51" s="349" t="s">
        <v>442</v>
      </c>
      <c r="B51" s="349" t="s">
        <v>456</v>
      </c>
      <c r="C51" s="349" t="s">
        <v>457</v>
      </c>
      <c r="D51" s="206">
        <v>0.05</v>
      </c>
      <c r="E51" s="349" t="s">
        <v>444</v>
      </c>
      <c r="F51" s="206">
        <v>0.1</v>
      </c>
      <c r="G51" s="349" t="s">
        <v>444</v>
      </c>
      <c r="H51" s="206">
        <v>0.1</v>
      </c>
      <c r="I51" s="349" t="s">
        <v>444</v>
      </c>
      <c r="J51" s="334">
        <v>0</v>
      </c>
      <c r="K51" s="206">
        <v>0</v>
      </c>
      <c r="L51" s="349" t="s">
        <v>505</v>
      </c>
      <c r="M51" s="206">
        <v>0</v>
      </c>
      <c r="N51" s="349" t="s">
        <v>505</v>
      </c>
      <c r="O51" s="206">
        <v>0</v>
      </c>
      <c r="P51" s="349" t="s">
        <v>445</v>
      </c>
      <c r="Q51" s="206">
        <v>0</v>
      </c>
      <c r="R51" s="349" t="s">
        <v>445</v>
      </c>
    </row>
    <row r="52" spans="1:18" x14ac:dyDescent="0.25">
      <c r="A52" s="349" t="s">
        <v>442</v>
      </c>
      <c r="B52" s="349" t="s">
        <v>456</v>
      </c>
      <c r="C52" s="349" t="s">
        <v>557</v>
      </c>
      <c r="D52" s="206">
        <v>0.2</v>
      </c>
      <c r="E52" s="349" t="s">
        <v>444</v>
      </c>
      <c r="F52" s="206">
        <v>0.2</v>
      </c>
      <c r="G52" s="349" t="s">
        <v>444</v>
      </c>
      <c r="H52" s="206">
        <v>0.6</v>
      </c>
      <c r="I52" s="349" t="s">
        <v>444</v>
      </c>
      <c r="J52" s="334">
        <v>0</v>
      </c>
      <c r="K52" s="206">
        <v>0</v>
      </c>
      <c r="L52" s="349" t="s">
        <v>505</v>
      </c>
      <c r="M52" s="206">
        <v>0</v>
      </c>
      <c r="N52" s="349" t="s">
        <v>505</v>
      </c>
      <c r="O52" s="206">
        <v>0.01</v>
      </c>
      <c r="P52" s="349" t="s">
        <v>445</v>
      </c>
      <c r="Q52" s="206">
        <v>0</v>
      </c>
      <c r="R52" s="349" t="s">
        <v>445</v>
      </c>
    </row>
    <row r="53" spans="1:18" x14ac:dyDescent="0.25">
      <c r="A53" s="349" t="s">
        <v>442</v>
      </c>
      <c r="B53" s="349" t="s">
        <v>456</v>
      </c>
      <c r="C53" s="349" t="s">
        <v>458</v>
      </c>
      <c r="D53" s="206">
        <v>0.05</v>
      </c>
      <c r="E53" s="349" t="s">
        <v>444</v>
      </c>
      <c r="F53" s="206">
        <v>0.1</v>
      </c>
      <c r="G53" s="349" t="s">
        <v>444</v>
      </c>
      <c r="H53" s="206">
        <v>0.1</v>
      </c>
      <c r="I53" s="349" t="s">
        <v>444</v>
      </c>
      <c r="J53" s="334">
        <v>0</v>
      </c>
      <c r="K53" s="206">
        <v>0</v>
      </c>
      <c r="L53" s="349" t="s">
        <v>505</v>
      </c>
      <c r="M53" s="206">
        <v>0</v>
      </c>
      <c r="N53" s="349" t="s">
        <v>505</v>
      </c>
      <c r="O53" s="206">
        <v>0</v>
      </c>
      <c r="P53" s="349" t="s">
        <v>445</v>
      </c>
      <c r="Q53" s="206">
        <v>0</v>
      </c>
      <c r="R53" s="349" t="s">
        <v>445</v>
      </c>
    </row>
    <row r="54" spans="1:18" x14ac:dyDescent="0.25">
      <c r="A54" s="349" t="s">
        <v>442</v>
      </c>
      <c r="B54" s="349" t="s">
        <v>456</v>
      </c>
      <c r="C54" s="349" t="s">
        <v>558</v>
      </c>
      <c r="D54" s="206">
        <v>0.2</v>
      </c>
      <c r="E54" s="349" t="s">
        <v>444</v>
      </c>
      <c r="F54" s="206">
        <v>0.2</v>
      </c>
      <c r="G54" s="349" t="s">
        <v>444</v>
      </c>
      <c r="H54" s="206">
        <v>0.6</v>
      </c>
      <c r="I54" s="349" t="s">
        <v>444</v>
      </c>
      <c r="J54" s="334">
        <v>0</v>
      </c>
      <c r="K54" s="206">
        <v>0</v>
      </c>
      <c r="L54" s="349" t="s">
        <v>505</v>
      </c>
      <c r="M54" s="206">
        <v>0</v>
      </c>
      <c r="N54" s="349" t="s">
        <v>505</v>
      </c>
      <c r="O54" s="206">
        <v>0.01</v>
      </c>
      <c r="P54" s="349" t="s">
        <v>445</v>
      </c>
      <c r="Q54" s="206">
        <v>0</v>
      </c>
      <c r="R54" s="349" t="s">
        <v>445</v>
      </c>
    </row>
    <row r="55" spans="1:18" x14ac:dyDescent="0.25">
      <c r="D55" s="206"/>
      <c r="F55" s="206"/>
      <c r="H55" s="206"/>
      <c r="J55" s="334"/>
      <c r="K55" s="206"/>
      <c r="M55" s="206"/>
      <c r="O55" s="206"/>
      <c r="Q55" s="206"/>
    </row>
    <row r="56" spans="1:18" x14ac:dyDescent="0.25">
      <c r="A56" s="349" t="s">
        <v>442</v>
      </c>
      <c r="B56" s="349" t="s">
        <v>459</v>
      </c>
      <c r="C56" s="349" t="s">
        <v>460</v>
      </c>
      <c r="D56" s="206">
        <v>0.4</v>
      </c>
      <c r="E56" s="349" t="s">
        <v>444</v>
      </c>
      <c r="F56" s="206">
        <v>0.6</v>
      </c>
      <c r="G56" s="349" t="s">
        <v>444</v>
      </c>
      <c r="H56" s="206">
        <v>0.8</v>
      </c>
      <c r="I56" s="349" t="s">
        <v>444</v>
      </c>
      <c r="J56" s="334">
        <v>0</v>
      </c>
      <c r="K56" s="206">
        <v>0</v>
      </c>
      <c r="L56" s="349" t="s">
        <v>505</v>
      </c>
      <c r="M56" s="206">
        <v>0</v>
      </c>
      <c r="N56" s="349" t="s">
        <v>505</v>
      </c>
      <c r="O56" s="206">
        <v>0</v>
      </c>
      <c r="P56" s="349" t="s">
        <v>445</v>
      </c>
      <c r="Q56" s="206">
        <v>0</v>
      </c>
      <c r="R56" s="349" t="s">
        <v>445</v>
      </c>
    </row>
    <row r="57" spans="1:18" x14ac:dyDescent="0.25">
      <c r="A57" s="349" t="s">
        <v>442</v>
      </c>
      <c r="B57" s="349" t="s">
        <v>459</v>
      </c>
      <c r="C57" s="349" t="s">
        <v>461</v>
      </c>
      <c r="D57" s="206">
        <v>0.4</v>
      </c>
      <c r="E57" s="349" t="s">
        <v>444</v>
      </c>
      <c r="F57" s="206">
        <v>0.6</v>
      </c>
      <c r="G57" s="349" t="s">
        <v>444</v>
      </c>
      <c r="H57" s="206">
        <v>0.8</v>
      </c>
      <c r="I57" s="349" t="s">
        <v>444</v>
      </c>
      <c r="J57" s="334">
        <v>0</v>
      </c>
      <c r="K57" s="206">
        <v>0</v>
      </c>
      <c r="L57" s="349" t="s">
        <v>505</v>
      </c>
      <c r="M57" s="206">
        <v>0</v>
      </c>
      <c r="N57" s="349" t="s">
        <v>505</v>
      </c>
      <c r="O57" s="206">
        <v>0</v>
      </c>
      <c r="P57" s="349" t="s">
        <v>445</v>
      </c>
      <c r="Q57" s="206">
        <v>0</v>
      </c>
      <c r="R57" s="349" t="s">
        <v>445</v>
      </c>
    </row>
    <row r="58" spans="1:18" x14ac:dyDescent="0.25">
      <c r="A58" s="349" t="s">
        <v>442</v>
      </c>
      <c r="B58" s="349" t="s">
        <v>459</v>
      </c>
      <c r="C58" s="349" t="s">
        <v>462</v>
      </c>
      <c r="D58" s="206">
        <v>0.4</v>
      </c>
      <c r="E58" s="349" t="s">
        <v>444</v>
      </c>
      <c r="F58" s="206">
        <v>0.6</v>
      </c>
      <c r="G58" s="349" t="s">
        <v>444</v>
      </c>
      <c r="H58" s="206">
        <v>0.8</v>
      </c>
      <c r="I58" s="349" t="s">
        <v>444</v>
      </c>
      <c r="J58" s="334">
        <v>0</v>
      </c>
      <c r="K58" s="206">
        <v>0</v>
      </c>
      <c r="L58" s="349" t="s">
        <v>505</v>
      </c>
      <c r="M58" s="206">
        <v>0</v>
      </c>
      <c r="N58" s="349" t="s">
        <v>505</v>
      </c>
      <c r="O58" s="206">
        <v>0</v>
      </c>
      <c r="P58" s="349" t="s">
        <v>445</v>
      </c>
      <c r="Q58" s="206">
        <v>0</v>
      </c>
      <c r="R58" s="349" t="s">
        <v>445</v>
      </c>
    </row>
    <row r="59" spans="1:18" x14ac:dyDescent="0.25">
      <c r="A59" s="349" t="s">
        <v>442</v>
      </c>
      <c r="B59" s="349" t="s">
        <v>459</v>
      </c>
      <c r="C59" s="349" t="s">
        <v>463</v>
      </c>
      <c r="D59" s="206">
        <v>0.4</v>
      </c>
      <c r="E59" s="349" t="s">
        <v>444</v>
      </c>
      <c r="F59" s="206">
        <v>0.6</v>
      </c>
      <c r="G59" s="349" t="s">
        <v>444</v>
      </c>
      <c r="H59" s="206">
        <v>0.8</v>
      </c>
      <c r="I59" s="349" t="s">
        <v>444</v>
      </c>
      <c r="J59" s="334">
        <v>0</v>
      </c>
      <c r="K59" s="206">
        <v>0</v>
      </c>
      <c r="L59" s="349" t="s">
        <v>505</v>
      </c>
      <c r="M59" s="206">
        <v>0</v>
      </c>
      <c r="N59" s="349" t="s">
        <v>505</v>
      </c>
      <c r="O59" s="206">
        <v>0</v>
      </c>
      <c r="P59" s="349" t="s">
        <v>445</v>
      </c>
      <c r="Q59" s="206">
        <v>0</v>
      </c>
      <c r="R59" s="349" t="s">
        <v>445</v>
      </c>
    </row>
    <row r="60" spans="1:18" x14ac:dyDescent="0.25">
      <c r="D60" s="206"/>
      <c r="F60" s="206"/>
      <c r="H60" s="206"/>
      <c r="J60" s="334"/>
      <c r="K60" s="206"/>
      <c r="M60" s="206"/>
      <c r="O60" s="206"/>
      <c r="Q60" s="206"/>
    </row>
    <row r="61" spans="1:18" x14ac:dyDescent="0.25">
      <c r="A61" s="349" t="s">
        <v>442</v>
      </c>
      <c r="B61" s="349" t="s">
        <v>464</v>
      </c>
      <c r="C61" s="349" t="s">
        <v>465</v>
      </c>
      <c r="D61" s="208">
        <v>0.3</v>
      </c>
      <c r="E61" s="209" t="s">
        <v>444</v>
      </c>
      <c r="F61" s="208">
        <v>0.4</v>
      </c>
      <c r="G61" s="209" t="s">
        <v>444</v>
      </c>
      <c r="H61" s="208">
        <v>0.8</v>
      </c>
      <c r="I61" s="209" t="s">
        <v>444</v>
      </c>
      <c r="J61" s="335">
        <v>0</v>
      </c>
      <c r="K61" s="208">
        <v>0</v>
      </c>
      <c r="L61" s="209" t="s">
        <v>505</v>
      </c>
      <c r="M61" s="208">
        <v>0</v>
      </c>
      <c r="N61" s="209" t="s">
        <v>505</v>
      </c>
      <c r="O61" s="208">
        <v>0.01</v>
      </c>
      <c r="P61" s="209" t="s">
        <v>445</v>
      </c>
      <c r="Q61" s="208">
        <v>0</v>
      </c>
      <c r="R61" s="349" t="s">
        <v>445</v>
      </c>
    </row>
    <row r="62" spans="1:18" s="352" customFormat="1" ht="30" customHeight="1" x14ac:dyDescent="0.25">
      <c r="A62" s="352" t="s">
        <v>442</v>
      </c>
      <c r="B62" s="352" t="s">
        <v>464</v>
      </c>
      <c r="C62" s="352" t="s">
        <v>486</v>
      </c>
      <c r="D62" s="355">
        <v>0.2</v>
      </c>
      <c r="E62" s="352" t="s">
        <v>540</v>
      </c>
      <c r="F62" s="355">
        <v>0.3</v>
      </c>
      <c r="G62" s="352" t="s">
        <v>540</v>
      </c>
      <c r="H62" s="355">
        <v>0.6</v>
      </c>
      <c r="I62" s="352" t="s">
        <v>540</v>
      </c>
      <c r="J62" s="357">
        <v>0</v>
      </c>
      <c r="K62" s="355">
        <v>0.15</v>
      </c>
      <c r="L62" s="356" t="s">
        <v>505</v>
      </c>
      <c r="M62" s="355">
        <v>0.1</v>
      </c>
      <c r="N62" s="356" t="s">
        <v>505</v>
      </c>
      <c r="O62" s="355">
        <v>1.5E-3</v>
      </c>
      <c r="P62" s="356" t="s">
        <v>445</v>
      </c>
      <c r="Q62" s="355">
        <v>0</v>
      </c>
      <c r="R62" s="352" t="s">
        <v>445</v>
      </c>
    </row>
    <row r="63" spans="1:18" s="352" customFormat="1" ht="30" customHeight="1" x14ac:dyDescent="0.25">
      <c r="A63" s="352" t="s">
        <v>442</v>
      </c>
      <c r="B63" s="352" t="s">
        <v>464</v>
      </c>
      <c r="C63" s="352" t="s">
        <v>487</v>
      </c>
      <c r="D63" s="355">
        <v>0.2</v>
      </c>
      <c r="E63" s="356" t="s">
        <v>540</v>
      </c>
      <c r="F63" s="355">
        <v>0.3</v>
      </c>
      <c r="G63" s="356" t="s">
        <v>540</v>
      </c>
      <c r="H63" s="355">
        <v>0.6</v>
      </c>
      <c r="I63" s="356" t="s">
        <v>540</v>
      </c>
      <c r="J63" s="357">
        <v>0</v>
      </c>
      <c r="K63" s="355">
        <v>0.4</v>
      </c>
      <c r="L63" s="356" t="s">
        <v>505</v>
      </c>
      <c r="M63" s="355">
        <v>0.1</v>
      </c>
      <c r="N63" s="356" t="s">
        <v>505</v>
      </c>
      <c r="O63" s="355">
        <v>4.0000000000000001E-3</v>
      </c>
      <c r="P63" s="356" t="s">
        <v>445</v>
      </c>
      <c r="Q63" s="355">
        <v>0</v>
      </c>
      <c r="R63" s="356" t="s">
        <v>445</v>
      </c>
    </row>
    <row r="64" spans="1:18" x14ac:dyDescent="0.25">
      <c r="A64" s="349" t="s">
        <v>442</v>
      </c>
      <c r="B64" s="349" t="s">
        <v>464</v>
      </c>
      <c r="C64" s="349" t="s">
        <v>466</v>
      </c>
      <c r="D64" s="208">
        <v>0.3</v>
      </c>
      <c r="E64" s="209" t="s">
        <v>444</v>
      </c>
      <c r="F64" s="208">
        <v>0.4</v>
      </c>
      <c r="G64" s="209" t="s">
        <v>444</v>
      </c>
      <c r="H64" s="208">
        <v>0.8</v>
      </c>
      <c r="I64" s="209" t="s">
        <v>444</v>
      </c>
      <c r="J64" s="335">
        <v>0</v>
      </c>
      <c r="K64" s="208">
        <v>0</v>
      </c>
      <c r="L64" s="209" t="s">
        <v>505</v>
      </c>
      <c r="M64" s="208">
        <v>0</v>
      </c>
      <c r="N64" s="209" t="s">
        <v>505</v>
      </c>
      <c r="O64" s="208">
        <v>1</v>
      </c>
      <c r="P64" s="209" t="s">
        <v>445</v>
      </c>
      <c r="Q64" s="208">
        <v>1</v>
      </c>
      <c r="R64" s="209" t="s">
        <v>445</v>
      </c>
    </row>
    <row r="65" spans="1:18" ht="30" customHeight="1" x14ac:dyDescent="0.25">
      <c r="D65" s="206"/>
      <c r="F65" s="206"/>
      <c r="H65" s="206"/>
      <c r="J65" s="334"/>
      <c r="K65" s="206"/>
      <c r="M65" s="206"/>
      <c r="O65" s="206"/>
      <c r="Q65" s="206"/>
    </row>
    <row r="66" spans="1:18" x14ac:dyDescent="0.25">
      <c r="A66" s="349" t="s">
        <v>442</v>
      </c>
      <c r="B66" s="349" t="s">
        <v>467</v>
      </c>
      <c r="C66" s="349" t="s">
        <v>559</v>
      </c>
      <c r="D66" s="206">
        <v>0</v>
      </c>
      <c r="E66" s="349" t="s">
        <v>444</v>
      </c>
      <c r="F66" s="206">
        <v>0</v>
      </c>
      <c r="G66" s="349" t="s">
        <v>444</v>
      </c>
      <c r="H66" s="206">
        <v>0</v>
      </c>
      <c r="I66" s="349" t="s">
        <v>444</v>
      </c>
      <c r="J66" s="334">
        <v>0</v>
      </c>
      <c r="K66" s="206">
        <v>0</v>
      </c>
      <c r="L66" s="349" t="s">
        <v>505</v>
      </c>
      <c r="M66" s="206">
        <v>0</v>
      </c>
      <c r="N66" s="349" t="s">
        <v>505</v>
      </c>
      <c r="O66" s="206">
        <v>0</v>
      </c>
      <c r="P66" s="349" t="s">
        <v>445</v>
      </c>
      <c r="Q66" s="206">
        <v>0</v>
      </c>
      <c r="R66" s="349" t="s">
        <v>445</v>
      </c>
    </row>
    <row r="67" spans="1:18" x14ac:dyDescent="0.25">
      <c r="A67" s="349" t="s">
        <v>442</v>
      </c>
      <c r="B67" s="349" t="s">
        <v>467</v>
      </c>
      <c r="C67" s="349" t="s">
        <v>468</v>
      </c>
      <c r="D67" s="206">
        <v>0.3</v>
      </c>
      <c r="E67" s="349" t="s">
        <v>444</v>
      </c>
      <c r="F67" s="206">
        <v>0.55000000000000004</v>
      </c>
      <c r="G67" s="349" t="s">
        <v>444</v>
      </c>
      <c r="H67" s="206">
        <v>0.6</v>
      </c>
      <c r="I67" s="349" t="s">
        <v>444</v>
      </c>
      <c r="J67" s="334">
        <v>0</v>
      </c>
      <c r="K67" s="206">
        <v>0</v>
      </c>
      <c r="L67" s="349" t="s">
        <v>505</v>
      </c>
      <c r="M67" s="206">
        <v>0</v>
      </c>
      <c r="N67" s="349" t="s">
        <v>505</v>
      </c>
      <c r="O67" s="206">
        <v>0</v>
      </c>
      <c r="P67" s="349" t="s">
        <v>445</v>
      </c>
      <c r="Q67" s="206">
        <v>0</v>
      </c>
      <c r="R67" s="349" t="s">
        <v>445</v>
      </c>
    </row>
    <row r="68" spans="1:18" x14ac:dyDescent="0.25">
      <c r="D68" s="206"/>
      <c r="F68" s="206"/>
      <c r="H68" s="206"/>
      <c r="J68" s="334"/>
      <c r="K68" s="206"/>
      <c r="M68" s="206"/>
      <c r="O68" s="206"/>
      <c r="Q68" s="206"/>
    </row>
    <row r="69" spans="1:18" x14ac:dyDescent="0.25">
      <c r="A69" s="349" t="s">
        <v>423</v>
      </c>
      <c r="B69" s="349" t="s">
        <v>469</v>
      </c>
      <c r="C69" s="349" t="s">
        <v>470</v>
      </c>
      <c r="D69" s="206">
        <v>1</v>
      </c>
      <c r="E69" s="349" t="s">
        <v>503</v>
      </c>
      <c r="F69" s="206">
        <v>1</v>
      </c>
      <c r="G69" s="349" t="s">
        <v>503</v>
      </c>
      <c r="H69" s="206">
        <v>1</v>
      </c>
      <c r="I69" s="349" t="s">
        <v>503</v>
      </c>
      <c r="J69" s="334">
        <v>0</v>
      </c>
      <c r="K69" s="393">
        <v>0.47899999999999998</v>
      </c>
      <c r="L69" s="209" t="s">
        <v>505</v>
      </c>
      <c r="M69" s="208">
        <v>0</v>
      </c>
      <c r="N69" s="209" t="s">
        <v>505</v>
      </c>
      <c r="O69" s="208">
        <v>0.04</v>
      </c>
      <c r="P69" s="209" t="s">
        <v>445</v>
      </c>
      <c r="Q69" s="208">
        <v>0</v>
      </c>
      <c r="R69" s="209" t="s">
        <v>445</v>
      </c>
    </row>
    <row r="70" spans="1:18" x14ac:dyDescent="0.25">
      <c r="A70" s="349" t="s">
        <v>423</v>
      </c>
      <c r="B70" s="349" t="s">
        <v>469</v>
      </c>
      <c r="C70" s="349" t="s">
        <v>471</v>
      </c>
      <c r="D70" s="206">
        <v>1</v>
      </c>
      <c r="E70" s="349" t="s">
        <v>503</v>
      </c>
      <c r="F70" s="206">
        <v>1</v>
      </c>
      <c r="G70" s="349" t="s">
        <v>503</v>
      </c>
      <c r="H70" s="206">
        <v>1</v>
      </c>
      <c r="I70" s="349" t="s">
        <v>503</v>
      </c>
      <c r="J70" s="334">
        <v>0</v>
      </c>
      <c r="K70" s="208">
        <v>0.5</v>
      </c>
      <c r="L70" s="209" t="s">
        <v>505</v>
      </c>
      <c r="M70" s="208">
        <v>0</v>
      </c>
      <c r="N70" s="209" t="s">
        <v>505</v>
      </c>
      <c r="O70" s="208">
        <v>0.05</v>
      </c>
      <c r="P70" s="209" t="s">
        <v>445</v>
      </c>
      <c r="Q70" s="208">
        <v>0.01</v>
      </c>
      <c r="R70" s="209" t="s">
        <v>445</v>
      </c>
    </row>
    <row r="71" spans="1:18" x14ac:dyDescent="0.25">
      <c r="A71" s="349" t="s">
        <v>423</v>
      </c>
      <c r="B71" s="349" t="s">
        <v>469</v>
      </c>
      <c r="C71" s="349" t="s">
        <v>473</v>
      </c>
      <c r="D71" s="206">
        <v>1</v>
      </c>
      <c r="E71" s="349" t="s">
        <v>503</v>
      </c>
      <c r="F71" s="206">
        <v>1</v>
      </c>
      <c r="G71" s="349" t="s">
        <v>503</v>
      </c>
      <c r="H71" s="206">
        <v>1</v>
      </c>
      <c r="I71" s="349" t="s">
        <v>503</v>
      </c>
      <c r="J71" s="334">
        <v>0</v>
      </c>
      <c r="K71" s="208">
        <v>0</v>
      </c>
      <c r="L71" s="209" t="s">
        <v>505</v>
      </c>
      <c r="M71" s="208">
        <v>0.28999999999999998</v>
      </c>
      <c r="N71" s="209" t="s">
        <v>505</v>
      </c>
      <c r="O71" s="208">
        <v>0.03</v>
      </c>
      <c r="P71" s="209" t="s">
        <v>445</v>
      </c>
      <c r="Q71" s="208">
        <v>0</v>
      </c>
      <c r="R71" s="209" t="s">
        <v>445</v>
      </c>
    </row>
    <row r="72" spans="1:18" x14ac:dyDescent="0.25">
      <c r="A72" s="349" t="s">
        <v>423</v>
      </c>
      <c r="B72" s="349" t="s">
        <v>469</v>
      </c>
      <c r="C72" s="349" t="s">
        <v>472</v>
      </c>
      <c r="D72" s="206">
        <v>1</v>
      </c>
      <c r="E72" s="349" t="s">
        <v>503</v>
      </c>
      <c r="F72" s="206">
        <v>1</v>
      </c>
      <c r="G72" s="349" t="s">
        <v>503</v>
      </c>
      <c r="H72" s="206">
        <v>1</v>
      </c>
      <c r="I72" s="349" t="s">
        <v>503</v>
      </c>
      <c r="J72" s="334">
        <v>0</v>
      </c>
      <c r="K72" s="208">
        <v>0</v>
      </c>
      <c r="L72" s="209" t="s">
        <v>505</v>
      </c>
      <c r="M72" s="208">
        <v>0.13</v>
      </c>
      <c r="N72" s="209" t="s">
        <v>505</v>
      </c>
      <c r="O72" s="208">
        <v>0.01</v>
      </c>
      <c r="P72" s="209" t="s">
        <v>445</v>
      </c>
      <c r="Q72" s="208">
        <v>0</v>
      </c>
      <c r="R72" s="209" t="s">
        <v>445</v>
      </c>
    </row>
    <row r="73" spans="1:18" x14ac:dyDescent="0.25">
      <c r="D73" s="206"/>
      <c r="F73" s="206"/>
      <c r="H73" s="206"/>
      <c r="J73" s="334"/>
      <c r="K73" s="208"/>
      <c r="L73" s="209"/>
      <c r="M73" s="208"/>
      <c r="N73" s="209"/>
      <c r="O73" s="208"/>
      <c r="P73" s="209"/>
      <c r="Q73" s="208"/>
      <c r="R73" s="209"/>
    </row>
    <row r="74" spans="1:18" x14ac:dyDescent="0.25">
      <c r="A74" s="349" t="s">
        <v>442</v>
      </c>
      <c r="B74" s="349" t="s">
        <v>443</v>
      </c>
      <c r="C74" s="349" t="s">
        <v>560</v>
      </c>
      <c r="D74" s="206">
        <v>0</v>
      </c>
      <c r="E74" s="349" t="s">
        <v>444</v>
      </c>
      <c r="F74" s="206">
        <v>0</v>
      </c>
      <c r="G74" s="349" t="s">
        <v>444</v>
      </c>
      <c r="H74" s="206">
        <v>0</v>
      </c>
      <c r="I74" s="349" t="s">
        <v>444</v>
      </c>
      <c r="J74" s="334">
        <v>0</v>
      </c>
      <c r="K74" s="206">
        <v>0</v>
      </c>
      <c r="L74" s="349" t="s">
        <v>505</v>
      </c>
      <c r="M74" s="206">
        <v>0</v>
      </c>
      <c r="N74" s="349" t="s">
        <v>505</v>
      </c>
      <c r="O74" s="206">
        <v>0</v>
      </c>
      <c r="P74" s="349" t="s">
        <v>445</v>
      </c>
      <c r="Q74" s="206">
        <v>0</v>
      </c>
      <c r="R74" s="349" t="s">
        <v>445</v>
      </c>
    </row>
    <row r="75" spans="1:18" x14ac:dyDescent="0.25">
      <c r="D75" s="206"/>
      <c r="F75" s="206"/>
      <c r="H75" s="206"/>
      <c r="J75" s="334"/>
      <c r="K75" s="208"/>
      <c r="L75" s="209"/>
      <c r="M75" s="208"/>
      <c r="N75" s="209"/>
      <c r="O75" s="208"/>
      <c r="P75" s="209"/>
      <c r="Q75" s="208"/>
      <c r="R75" s="209"/>
    </row>
    <row r="76" spans="1:18" x14ac:dyDescent="0.25">
      <c r="A76" s="349" t="s">
        <v>442</v>
      </c>
      <c r="B76" s="349" t="s">
        <v>479</v>
      </c>
      <c r="C76" s="349" t="s">
        <v>481</v>
      </c>
      <c r="D76" s="206">
        <v>0.17</v>
      </c>
      <c r="E76" s="349" t="s">
        <v>444</v>
      </c>
      <c r="F76" s="206">
        <v>0.22</v>
      </c>
      <c r="G76" s="349" t="s">
        <v>444</v>
      </c>
      <c r="H76" s="206">
        <v>0</v>
      </c>
      <c r="I76" s="349" t="s">
        <v>444</v>
      </c>
      <c r="J76" s="334">
        <v>0</v>
      </c>
      <c r="K76" s="206">
        <v>0</v>
      </c>
      <c r="L76" s="349" t="s">
        <v>505</v>
      </c>
      <c r="M76" s="206">
        <v>0</v>
      </c>
      <c r="N76" s="349" t="s">
        <v>505</v>
      </c>
      <c r="O76" s="206">
        <v>0</v>
      </c>
      <c r="P76" s="349" t="s">
        <v>445</v>
      </c>
      <c r="Q76" s="206">
        <v>0</v>
      </c>
      <c r="R76" s="349" t="s">
        <v>445</v>
      </c>
    </row>
    <row r="77" spans="1:18" x14ac:dyDescent="0.25">
      <c r="A77" s="349" t="s">
        <v>442</v>
      </c>
      <c r="B77" s="349" t="s">
        <v>479</v>
      </c>
      <c r="C77" s="349" t="s">
        <v>480</v>
      </c>
      <c r="D77" s="206">
        <v>0.03</v>
      </c>
      <c r="E77" s="349" t="s">
        <v>444</v>
      </c>
      <c r="F77" s="206">
        <v>0.03</v>
      </c>
      <c r="G77" s="349" t="s">
        <v>444</v>
      </c>
      <c r="H77" s="206">
        <v>0.09</v>
      </c>
      <c r="I77" s="349" t="s">
        <v>444</v>
      </c>
      <c r="J77" s="334">
        <v>0</v>
      </c>
      <c r="K77" s="206">
        <v>0</v>
      </c>
      <c r="L77" s="349" t="s">
        <v>505</v>
      </c>
      <c r="M77" s="206">
        <v>0</v>
      </c>
      <c r="N77" s="349" t="s">
        <v>505</v>
      </c>
      <c r="O77" s="206">
        <v>0</v>
      </c>
      <c r="P77" s="349" t="s">
        <v>445</v>
      </c>
      <c r="Q77" s="206">
        <v>0</v>
      </c>
      <c r="R77" s="349" t="s">
        <v>445</v>
      </c>
    </row>
    <row r="79" spans="1:18" x14ac:dyDescent="0.25">
      <c r="A79" s="349" t="s">
        <v>423</v>
      </c>
      <c r="B79" s="349" t="s">
        <v>582</v>
      </c>
      <c r="C79" s="349" t="s">
        <v>612</v>
      </c>
      <c r="D79" s="206">
        <v>1</v>
      </c>
      <c r="E79" s="349" t="s">
        <v>503</v>
      </c>
      <c r="F79" s="206">
        <v>1</v>
      </c>
      <c r="G79" s="349" t="s">
        <v>503</v>
      </c>
      <c r="H79" s="206">
        <v>1</v>
      </c>
      <c r="I79" s="349" t="s">
        <v>503</v>
      </c>
      <c r="J79" s="334">
        <v>0</v>
      </c>
      <c r="K79" s="441">
        <v>0.60099999999999998</v>
      </c>
      <c r="L79" s="349" t="s">
        <v>505</v>
      </c>
      <c r="M79" s="441">
        <v>0</v>
      </c>
      <c r="N79" s="349" t="s">
        <v>505</v>
      </c>
      <c r="O79" s="206">
        <v>0</v>
      </c>
      <c r="P79" s="349" t="s">
        <v>445</v>
      </c>
      <c r="Q79" s="206">
        <v>0</v>
      </c>
      <c r="R79" s="349" t="s">
        <v>445</v>
      </c>
    </row>
    <row r="80" spans="1:18" x14ac:dyDescent="0.25">
      <c r="A80" s="349" t="s">
        <v>423</v>
      </c>
      <c r="B80" s="349" t="s">
        <v>582</v>
      </c>
      <c r="C80" s="349" t="s">
        <v>613</v>
      </c>
      <c r="D80" s="206"/>
      <c r="F80" s="206"/>
      <c r="H80" s="206"/>
      <c r="J80" s="334">
        <v>0</v>
      </c>
      <c r="K80" s="441">
        <v>0.30399999999999999</v>
      </c>
      <c r="L80" s="349" t="s">
        <v>505</v>
      </c>
      <c r="M80" s="441">
        <v>0</v>
      </c>
      <c r="N80" s="349" t="s">
        <v>505</v>
      </c>
      <c r="O80" s="206"/>
      <c r="Q80" s="206"/>
    </row>
    <row r="81" spans="1:18" x14ac:dyDescent="0.25">
      <c r="A81" s="349" t="s">
        <v>423</v>
      </c>
      <c r="B81" s="349" t="s">
        <v>582</v>
      </c>
      <c r="C81" s="349" t="s">
        <v>614</v>
      </c>
      <c r="D81" s="206"/>
      <c r="F81" s="206"/>
      <c r="H81" s="206"/>
      <c r="J81" s="334">
        <v>0</v>
      </c>
      <c r="K81" s="441">
        <v>0</v>
      </c>
      <c r="L81" s="349" t="s">
        <v>505</v>
      </c>
      <c r="M81" s="441">
        <v>0.17680000000000001</v>
      </c>
      <c r="N81" s="349" t="s">
        <v>505</v>
      </c>
      <c r="O81" s="206"/>
      <c r="Q81" s="206"/>
    </row>
    <row r="82" spans="1:18" x14ac:dyDescent="0.25">
      <c r="A82" s="349" t="s">
        <v>423</v>
      </c>
      <c r="B82" s="349" t="s">
        <v>582</v>
      </c>
      <c r="C82" s="349" t="s">
        <v>615</v>
      </c>
      <c r="D82" s="206"/>
      <c r="F82" s="206"/>
      <c r="H82" s="206"/>
      <c r="J82" s="334">
        <v>0</v>
      </c>
      <c r="K82" s="441">
        <v>0</v>
      </c>
      <c r="L82" s="349" t="s">
        <v>505</v>
      </c>
      <c r="M82" s="441">
        <v>0.12520000000000001</v>
      </c>
      <c r="N82" s="349" t="s">
        <v>505</v>
      </c>
      <c r="O82" s="206"/>
      <c r="Q82" s="206"/>
    </row>
    <row r="83" spans="1:18" x14ac:dyDescent="0.25">
      <c r="A83" s="349" t="s">
        <v>423</v>
      </c>
      <c r="B83" s="349" t="s">
        <v>582</v>
      </c>
      <c r="C83" s="349" t="s">
        <v>581</v>
      </c>
      <c r="D83" s="206">
        <v>1</v>
      </c>
      <c r="E83" s="349" t="s">
        <v>503</v>
      </c>
      <c r="F83" s="206">
        <v>1</v>
      </c>
      <c r="G83" s="349" t="s">
        <v>503</v>
      </c>
      <c r="H83" s="206">
        <v>1</v>
      </c>
      <c r="I83" s="349" t="s">
        <v>503</v>
      </c>
      <c r="J83" s="334">
        <v>0</v>
      </c>
      <c r="K83" s="206">
        <v>0</v>
      </c>
      <c r="L83" s="349" t="s">
        <v>505</v>
      </c>
      <c r="M83" s="206">
        <v>0</v>
      </c>
      <c r="N83" s="349" t="s">
        <v>505</v>
      </c>
      <c r="O83" s="206">
        <v>0</v>
      </c>
      <c r="P83" s="349" t="s">
        <v>445</v>
      </c>
      <c r="Q83" s="206">
        <v>0</v>
      </c>
      <c r="R83" s="349" t="s">
        <v>445</v>
      </c>
    </row>
    <row r="103" spans="3:6" x14ac:dyDescent="0.25">
      <c r="C103" s="194"/>
      <c r="D103" s="15"/>
      <c r="E103" s="90"/>
      <c r="F103" s="90"/>
    </row>
  </sheetData>
  <sheetProtection algorithmName="SHA-512" hashValue="1R3QV1jBe2LScitwixS7T0sDAIH3woQuvFbK8sr3TqQju02NJc/JqCawBEwy2lOt43WfENMuIS+C3xY55MlXdA==" saltValue="5ouuvrUWmNVWdccKbDtlDw==" spinCount="100000" sheet="1" objects="1" scenarios="1"/>
  <mergeCells count="7">
    <mergeCell ref="Q1:R1"/>
    <mergeCell ref="D1:E1"/>
    <mergeCell ref="F1:G1"/>
    <mergeCell ref="H1:I1"/>
    <mergeCell ref="K1:L1"/>
    <mergeCell ref="M1:N1"/>
    <mergeCell ref="O1:P1"/>
  </mergeCells>
  <pageMargins left="0.7" right="0.5" top="0.75" bottom="0.5" header="0.3" footer="0.3"/>
  <pageSetup paperSize="17" scale="5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DF44CF258742059C60845C970706A0" ma:contentTypeVersion="1" ma:contentTypeDescription="Create a new document." ma:contentTypeScope="" ma:versionID="f9656c95be0de2ad9e0fa1f9e7c49aa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385bc9081e0d2fb715add144ae5c36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902E4C-50E9-4D7E-AC2C-01B0143BAC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043BFA-1043-4039-8AC6-C43009E226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E6D1C3-945E-449B-BA55-A39FDAF10D58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sharepoint/v3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C.A. RCN</vt:lpstr>
      <vt:lpstr>LOD</vt:lpstr>
      <vt:lpstr>OLOD </vt:lpstr>
      <vt:lpstr>RPv</vt:lpstr>
      <vt:lpstr>TMDL</vt:lpstr>
      <vt:lpstr>Cv</vt:lpstr>
      <vt:lpstr>Fv</vt:lpstr>
      <vt:lpstr>DURMM Report</vt:lpstr>
      <vt:lpstr>Data &amp; Documentation</vt:lpstr>
      <vt:lpstr>RPv!_GoBack</vt:lpstr>
      <vt:lpstr>'C.A. RCN'!Print_Area</vt:lpstr>
      <vt:lpstr>Cv!Print_Area</vt:lpstr>
      <vt:lpstr>'Data &amp; Documentation'!Print_Area</vt:lpstr>
      <vt:lpstr>Fv!Print_Area</vt:lpstr>
      <vt:lpstr>LOD!Print_Area</vt:lpstr>
      <vt:lpstr>'OLOD '!Print_Area</vt:lpstr>
      <vt:lpstr>RPv!Print_Area</vt:lpstr>
      <vt:lpstr>TMDL!Print_Area</vt:lpstr>
      <vt:lpstr>'DURMM Report'!Print_Titles</vt:lpstr>
    </vt:vector>
  </TitlesOfParts>
  <Company>State of Delaware, DNREC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DURMM_v2.51_200409</dc:title>
  <dc:creator>Randell Greer</dc:creator>
  <cp:lastModifiedBy>Greer, Randell (DNREC)</cp:lastModifiedBy>
  <cp:lastPrinted>2019-05-28T11:46:37Z</cp:lastPrinted>
  <dcterms:created xsi:type="dcterms:W3CDTF">2008-12-15T12:42:25Z</dcterms:created>
  <dcterms:modified xsi:type="dcterms:W3CDTF">2021-07-30T17:51:58Z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0x0101000FDF44CF258742059C60845C970706A0</vt:lpwstr>
  </property>
</Properties>
</file>