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trlProps/ctrlProp32.xml" ContentType="application/vnd.ms-excel.controlproperties+xml"/>
  <Override PartName="/xl/ctrlProps/ctrlProp31.xml" ContentType="application/vnd.ms-excel.controlproperties+xml"/>
  <Override PartName="/xl/ctrlProps/ctrlProp5.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xl/ctrlProps/ctrlProp33.xml" ContentType="application/vnd.ms-excel.controlproperties+xml"/>
  <Override PartName="/xl/ctrlProps/ctrlProp1.xml" ContentType="application/vnd.ms-excel.controlproperties+xml"/>
  <Override PartName="/docProps/app.xml" ContentType="application/vnd.openxmlformats-officedocument.extended-properties+xml"/>
  <Override PartName="/xl/calcChain.xml" ContentType="application/vnd.openxmlformats-officedocument.spreadsheetml.calcChain+xml"/>
  <Override PartName="/xl/ctrlProps/ctrlProp2.xml" ContentType="application/vnd.ms-excel.controlproperties+xml"/>
  <Override PartName="/xl/ctrlProps/ctrlProp30.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y Documents\Spray Other Stuff\Templates\Annual Report\"/>
    </mc:Choice>
  </mc:AlternateContent>
  <bookViews>
    <workbookView xWindow="-105" yWindow="-15" windowWidth="17010" windowHeight="10485"/>
  </bookViews>
  <sheets>
    <sheet name="Certification" sheetId="17" r:id="rId1"/>
    <sheet name="Requirements" sheetId="19" r:id="rId2"/>
    <sheet name="Wrksht 1" sheetId="15" r:id="rId3"/>
    <sheet name="Wrksht 2" sheetId="24" r:id="rId4"/>
    <sheet name="Nitrogen Balance" sheetId="20" r:id="rId5"/>
    <sheet name="Wrksht 3" sheetId="21" r:id="rId6"/>
    <sheet name="References" sheetId="23" r:id="rId7"/>
  </sheets>
  <definedNames>
    <definedName name="_ftn1" localSheetId="1">Requirements!$A$30</definedName>
    <definedName name="_ftn2" localSheetId="5">'Wrksht 3'!$A$24</definedName>
    <definedName name="_ftnref1" localSheetId="1">Requirements!$B$19</definedName>
    <definedName name="_ftnref2" localSheetId="5">'Wrksht 3'!$A$4</definedName>
    <definedName name="acre_to_sqft">'Wrksht 2'!$A$62</definedName>
    <definedName name="annual_nitrogen_precipitation_lb_per_acre_year">'Wrksht 2'!$I$106</definedName>
    <definedName name="assumed_ammonia_volatilization_percent">'Wrksht 2'!$A$70</definedName>
    <definedName name="cf_to_gal">'Wrksht 2'!$A$61</definedName>
    <definedName name="cfs_to_gpm">'Wrksht 2'!$A$58</definedName>
    <definedName name="Crop_Annual_Nitrogen_lbs_per_ac">'Wrksht 2'!$L$76:$L$87</definedName>
    <definedName name="Crop_Annual_Phosphorus_lbs_per_ac">'Wrksht 2'!$P$76:$P$87</definedName>
    <definedName name="Crop_Denitrification_Percent">'Wrksht 2'!$N$76:$N$87</definedName>
    <definedName name="Crop_Fixation_Percent">'Wrksht 2'!$M$76:$M$87</definedName>
    <definedName name="Crop_List_Abbr">'Wrksht 2'!$H$76:$I$87</definedName>
    <definedName name="Crop_List_Full">'Wrksht 2'!$E$76:$E$87</definedName>
    <definedName name="Crop_Monthly_Nitrogen_Uptake_Percent">'Wrksht 2'!$Q$76:$AB$87</definedName>
    <definedName name="Crop_N_Per_Bushel">'Wrksht 2'!$K$76:$K$87</definedName>
    <definedName name="Crop_P2O5_Per_Bushel">'Wrksht 2'!$O$76:$O$87</definedName>
    <definedName name="Crop_Yield">'Wrksht 2'!$J$76:$J$87</definedName>
    <definedName name="Days_In_Month">'Wrksht 2'!$C$73:$C$84</definedName>
    <definedName name="Effluent_Ammonia_Conc">'Wrksht 1'!$C$9:$N$9</definedName>
    <definedName name="Effluent_N_Conc">'Wrksht 1'!$C$8:$N$8</definedName>
    <definedName name="Effluent_P_Conc">'Wrksht 1'!$C$10:$N$10</definedName>
    <definedName name="ft_to_in">'Wrksht 2'!$A$60</definedName>
    <definedName name="gal_to_acre_in">'Wrksht 2'!$A$64</definedName>
    <definedName name="gpm_to_gpd">'Wrksht 2'!$A$59</definedName>
    <definedName name="lbs_per_gal_to_mg_per_L">'Wrksht 2'!$A$66</definedName>
    <definedName name="MG_to_acre_in">'Wrksht 2'!$A$63</definedName>
    <definedName name="Month_List">'Wrksht 2'!$A$73:$A$84</definedName>
    <definedName name="Month_List_Abbr">'Wrksht 2'!$B$73:$B$84</definedName>
    <definedName name="Monthly_N_Precip">'Wrksht 2'!$F$108:$Q$108</definedName>
    <definedName name="Monthly_Total_Precipitation_in">'Wrksht 1'!$C$13:$N$13</definedName>
    <definedName name="nearest_weather_station" localSheetId="3">'Wrksht 2'!$E$4</definedName>
    <definedName name="Normal_Temperatures_F">'Wrksht 2'!$F$61:$Q$69</definedName>
    <definedName name="percent_p_in_p2o5">'Wrksht 2'!$A$67</definedName>
    <definedName name="Pot_Evapotrans_in">'Wrksht 2'!$R$61:$AC$69</definedName>
    <definedName name="Pot_Evapotrans_Tot_in">'Wrksht 2'!$AD$61:$AD$69</definedName>
    <definedName name="Precip_5_Year_in">'Wrksht 2'!$AQ$61:$BB$69</definedName>
    <definedName name="Precip_in">'Wrksht 2'!$AE$61:$AP$69</definedName>
    <definedName name="_xlnm.Print_Area" localSheetId="0">Certification!$A$1:$I$42</definedName>
    <definedName name="_xlnm.Print_Area" localSheetId="3">'Wrksht 2'!$A$1:$Q$34</definedName>
    <definedName name="_xlnm.Print_Titles" localSheetId="0">Certification!$1:$10</definedName>
    <definedName name="Weather_Stations_List">'Wrksht 2'!$E$61:$E$69</definedName>
    <definedName name="week_to_day">'Wrksht 2'!$A$65</definedName>
    <definedName name="wetted_acres" localSheetId="3">'Wrksht 2'!$B$4</definedName>
  </definedNames>
  <calcPr calcId="162913"/>
</workbook>
</file>

<file path=xl/calcChain.xml><?xml version="1.0" encoding="utf-8"?>
<calcChain xmlns="http://schemas.openxmlformats.org/spreadsheetml/2006/main">
  <c r="L78" i="24" l="1"/>
  <c r="B115" i="24" l="1"/>
  <c r="B116" i="24"/>
  <c r="B114" i="24"/>
  <c r="A115" i="24"/>
  <c r="A116" i="24"/>
  <c r="A114" i="24"/>
  <c r="O13" i="15" l="1"/>
  <c r="Q12" i="15"/>
  <c r="Q13" i="15"/>
  <c r="Q11" i="15"/>
  <c r="AB86" i="24" l="1"/>
  <c r="N15" i="24" s="1"/>
  <c r="AA86" i="24"/>
  <c r="M15" i="24" s="1"/>
  <c r="Z86" i="24"/>
  <c r="L15" i="24" s="1"/>
  <c r="Y86" i="24"/>
  <c r="K15" i="24" s="1"/>
  <c r="X86" i="24"/>
  <c r="W86" i="24"/>
  <c r="V86" i="24"/>
  <c r="U86" i="24"/>
  <c r="T86" i="24"/>
  <c r="S86" i="24"/>
  <c r="R86" i="24"/>
  <c r="Q86" i="24"/>
  <c r="I15" i="24" l="1"/>
  <c r="C15" i="24"/>
  <c r="G15" i="24"/>
  <c r="D15" i="24"/>
  <c r="H15" i="24"/>
  <c r="E15" i="24"/>
  <c r="F15" i="24"/>
  <c r="J15" i="24"/>
  <c r="Q87" i="24"/>
  <c r="R87" i="24"/>
  <c r="S87" i="24"/>
  <c r="T87" i="24"/>
  <c r="U87" i="24"/>
  <c r="V87" i="24"/>
  <c r="W87" i="24"/>
  <c r="O7" i="15" l="1"/>
  <c r="Q10" i="15"/>
  <c r="Q9" i="15"/>
  <c r="Q8" i="15"/>
  <c r="D46" i="24" l="1"/>
  <c r="E46" i="24"/>
  <c r="F46" i="24"/>
  <c r="G46" i="24"/>
  <c r="H46" i="24"/>
  <c r="I46" i="24"/>
  <c r="J46" i="24"/>
  <c r="K46" i="24"/>
  <c r="L46" i="24"/>
  <c r="M46" i="24"/>
  <c r="N46" i="24"/>
  <c r="C46" i="24"/>
  <c r="AB87" i="24"/>
  <c r="AA87" i="24"/>
  <c r="Z87" i="24"/>
  <c r="Y87" i="24"/>
  <c r="X87" i="24"/>
  <c r="Q82" i="24"/>
  <c r="R82" i="24"/>
  <c r="S82" i="24"/>
  <c r="T82" i="24"/>
  <c r="U82" i="24"/>
  <c r="V82" i="24"/>
  <c r="W82" i="24"/>
  <c r="X82" i="24"/>
  <c r="Y82" i="24"/>
  <c r="Z82" i="24"/>
  <c r="AA82" i="24"/>
  <c r="AB82" i="24"/>
  <c r="R81" i="24"/>
  <c r="S81" i="24"/>
  <c r="T81" i="24"/>
  <c r="U81" i="24"/>
  <c r="V81" i="24"/>
  <c r="W81" i="24"/>
  <c r="X81" i="24"/>
  <c r="Y81" i="24"/>
  <c r="Z81" i="24"/>
  <c r="AA81" i="24"/>
  <c r="AB81" i="24"/>
  <c r="Q81" i="24"/>
  <c r="V119" i="24" l="1"/>
  <c r="U119" i="24"/>
  <c r="T119" i="24"/>
  <c r="V118" i="24"/>
  <c r="U118" i="24"/>
  <c r="T118" i="24"/>
  <c r="V117" i="24"/>
  <c r="U117" i="24"/>
  <c r="T117" i="24"/>
  <c r="V116" i="24"/>
  <c r="U116" i="24"/>
  <c r="T116" i="24"/>
  <c r="V115" i="24"/>
  <c r="U115" i="24"/>
  <c r="T115" i="24"/>
  <c r="V114" i="24"/>
  <c r="U114" i="24"/>
  <c r="T114" i="24"/>
  <c r="Q108" i="24"/>
  <c r="P108" i="24"/>
  <c r="O108" i="24"/>
  <c r="N108" i="24"/>
  <c r="M108" i="24"/>
  <c r="L108" i="24"/>
  <c r="K108" i="24"/>
  <c r="J108" i="24"/>
  <c r="I108" i="24"/>
  <c r="H108" i="24"/>
  <c r="G108" i="24"/>
  <c r="F108" i="24"/>
  <c r="C106" i="24"/>
  <c r="C105" i="24"/>
  <c r="C104" i="24"/>
  <c r="C103" i="24"/>
  <c r="C102" i="24"/>
  <c r="C101" i="24"/>
  <c r="C100" i="24"/>
  <c r="C99" i="24"/>
  <c r="C98" i="24"/>
  <c r="C97" i="24"/>
  <c r="C96" i="24"/>
  <c r="C95" i="24"/>
  <c r="P79" i="24"/>
  <c r="L79" i="24"/>
  <c r="P78" i="24"/>
  <c r="P77" i="24"/>
  <c r="L77" i="24"/>
  <c r="P76" i="24"/>
  <c r="L76" i="24"/>
  <c r="A64" i="24"/>
  <c r="A63" i="24"/>
  <c r="A59" i="24"/>
  <c r="N2" i="24" l="1"/>
  <c r="N3" i="24"/>
  <c r="N4" i="24"/>
  <c r="P10" i="24" l="1"/>
  <c r="P8" i="24"/>
  <c r="D47" i="24" l="1"/>
  <c r="E47" i="24"/>
  <c r="F47" i="24"/>
  <c r="G47" i="24"/>
  <c r="H47" i="24"/>
  <c r="I47" i="24"/>
  <c r="J47" i="24"/>
  <c r="K47" i="24"/>
  <c r="L47" i="24"/>
  <c r="M47" i="24"/>
  <c r="N47" i="24"/>
  <c r="C47" i="24"/>
  <c r="P46" i="24"/>
  <c r="D42" i="24"/>
  <c r="E42" i="24"/>
  <c r="F42" i="24"/>
  <c r="G42" i="24"/>
  <c r="H42" i="24"/>
  <c r="I42" i="24"/>
  <c r="J42" i="24"/>
  <c r="K42" i="24"/>
  <c r="L42" i="24"/>
  <c r="M42" i="24"/>
  <c r="N42" i="24"/>
  <c r="C42" i="24"/>
  <c r="P47" i="24" l="1"/>
  <c r="P42" i="24"/>
  <c r="O42" i="24"/>
  <c r="O46" i="24"/>
  <c r="O47" i="24"/>
  <c r="O8" i="24" l="1"/>
  <c r="O10" i="24"/>
  <c r="D9" i="24"/>
  <c r="D11" i="24" s="1"/>
  <c r="E9" i="24"/>
  <c r="E11" i="24" s="1"/>
  <c r="F9" i="24"/>
  <c r="F11" i="24" s="1"/>
  <c r="G9" i="24"/>
  <c r="G11" i="24" s="1"/>
  <c r="H9" i="24"/>
  <c r="H11" i="24" s="1"/>
  <c r="I9" i="24"/>
  <c r="I11" i="24" s="1"/>
  <c r="J9" i="24"/>
  <c r="J11" i="24" s="1"/>
  <c r="K9" i="24"/>
  <c r="K11" i="24" s="1"/>
  <c r="L9" i="24"/>
  <c r="L11" i="24" s="1"/>
  <c r="M9" i="24"/>
  <c r="M11" i="24" s="1"/>
  <c r="N9" i="24"/>
  <c r="N11" i="24" s="1"/>
  <c r="C9" i="24"/>
  <c r="C18" i="24" l="1"/>
  <c r="C21" i="24" s="1"/>
  <c r="C11" i="24"/>
  <c r="L49" i="24"/>
  <c r="L50" i="24" s="1"/>
  <c r="L18" i="24"/>
  <c r="L21" i="24" s="1"/>
  <c r="L14" i="24"/>
  <c r="D49" i="24"/>
  <c r="D50" i="24" s="1"/>
  <c r="D18" i="24"/>
  <c r="D21" i="24" s="1"/>
  <c r="D14" i="24"/>
  <c r="H49" i="24"/>
  <c r="H50" i="24" s="1"/>
  <c r="H18" i="24"/>
  <c r="H21" i="24" s="1"/>
  <c r="H14" i="24"/>
  <c r="K49" i="24"/>
  <c r="K50" i="24" s="1"/>
  <c r="K18" i="24"/>
  <c r="K21" i="24" s="1"/>
  <c r="K14" i="24"/>
  <c r="F49" i="24"/>
  <c r="F50" i="24" s="1"/>
  <c r="F18" i="24"/>
  <c r="F21" i="24" s="1"/>
  <c r="F14" i="24"/>
  <c r="C14" i="24"/>
  <c r="G49" i="24"/>
  <c r="G50" i="24" s="1"/>
  <c r="G18" i="24"/>
  <c r="G21" i="24" s="1"/>
  <c r="G14" i="24"/>
  <c r="N49" i="24"/>
  <c r="N50" i="24" s="1"/>
  <c r="N18" i="24"/>
  <c r="N21" i="24" s="1"/>
  <c r="N14" i="24"/>
  <c r="J49" i="24"/>
  <c r="J50" i="24" s="1"/>
  <c r="J18" i="24"/>
  <c r="J21" i="24" s="1"/>
  <c r="J14" i="24"/>
  <c r="M49" i="24"/>
  <c r="M50" i="24" s="1"/>
  <c r="M18" i="24"/>
  <c r="M21" i="24" s="1"/>
  <c r="M14" i="24"/>
  <c r="I49" i="24"/>
  <c r="I50" i="24" s="1"/>
  <c r="I18" i="24"/>
  <c r="I21" i="24" s="1"/>
  <c r="I14" i="24"/>
  <c r="E49" i="24"/>
  <c r="E50" i="24" s="1"/>
  <c r="E18" i="24"/>
  <c r="E21" i="24" s="1"/>
  <c r="E14" i="24"/>
  <c r="P9" i="24"/>
  <c r="C49" i="24"/>
  <c r="E43" i="24"/>
  <c r="E45" i="24" s="1"/>
  <c r="I43" i="24"/>
  <c r="I45" i="24" s="1"/>
  <c r="H43" i="24"/>
  <c r="H45" i="24" s="1"/>
  <c r="C43" i="24"/>
  <c r="K43" i="24"/>
  <c r="K45" i="24" s="1"/>
  <c r="G43" i="24"/>
  <c r="G45" i="24" s="1"/>
  <c r="M43" i="24"/>
  <c r="M45" i="24" s="1"/>
  <c r="L43" i="24"/>
  <c r="L45" i="24" s="1"/>
  <c r="D43" i="24"/>
  <c r="D45" i="24" s="1"/>
  <c r="N43" i="24"/>
  <c r="N45" i="24" s="1"/>
  <c r="J43" i="24"/>
  <c r="J45" i="24" s="1"/>
  <c r="F43" i="24"/>
  <c r="F45" i="24" s="1"/>
  <c r="O9" i="24"/>
  <c r="C50" i="24" l="1"/>
  <c r="P49" i="24"/>
  <c r="P43" i="24"/>
  <c r="C41" i="24"/>
  <c r="M41" i="24"/>
  <c r="O49" i="24"/>
  <c r="C45" i="24"/>
  <c r="P45" i="24" s="1"/>
  <c r="O43" i="24"/>
  <c r="H41" i="24"/>
  <c r="K41" i="24"/>
  <c r="I41" i="24"/>
  <c r="G41" i="24"/>
  <c r="J41" i="24"/>
  <c r="O6" i="15"/>
  <c r="P6" i="15" s="1"/>
  <c r="Q7" i="15"/>
  <c r="P50" i="24" l="1"/>
  <c r="O50" i="24"/>
  <c r="C44" i="24"/>
  <c r="N41" i="24"/>
  <c r="L41" i="24"/>
  <c r="D41" i="24"/>
  <c r="E41" i="24"/>
  <c r="J44" i="24"/>
  <c r="J16" i="24" s="1"/>
  <c r="J48" i="24" s="1"/>
  <c r="K44" i="24"/>
  <c r="K16" i="24" s="1"/>
  <c r="K48" i="24" s="1"/>
  <c r="G44" i="24"/>
  <c r="G16" i="24" s="1"/>
  <c r="G48" i="24" s="1"/>
  <c r="I44" i="24"/>
  <c r="I16" i="24" s="1"/>
  <c r="I48" i="24" s="1"/>
  <c r="M44" i="24"/>
  <c r="M16" i="24" s="1"/>
  <c r="M48" i="24" s="1"/>
  <c r="H44" i="24"/>
  <c r="H16" i="24" s="1"/>
  <c r="H48" i="24" s="1"/>
  <c r="F41" i="24"/>
  <c r="O45" i="24"/>
  <c r="P7" i="15"/>
  <c r="Q6" i="15"/>
  <c r="D44" i="24" l="1"/>
  <c r="D16" i="24" s="1"/>
  <c r="D48" i="24" s="1"/>
  <c r="D17" i="24" s="1"/>
  <c r="N44" i="24"/>
  <c r="N16" i="24" s="1"/>
  <c r="N48" i="24" s="1"/>
  <c r="N17" i="24" s="1"/>
  <c r="E44" i="24"/>
  <c r="E16" i="24" s="1"/>
  <c r="E48" i="24" s="1"/>
  <c r="L44" i="24"/>
  <c r="L16" i="24" s="1"/>
  <c r="L48" i="24" s="1"/>
  <c r="L17" i="24" s="1"/>
  <c r="P41" i="24"/>
  <c r="O41" i="24"/>
  <c r="O15" i="24"/>
  <c r="C16" i="24"/>
  <c r="C48" i="24" s="1"/>
  <c r="M17" i="24"/>
  <c r="I17" i="24"/>
  <c r="J17" i="24"/>
  <c r="H17" i="24"/>
  <c r="G17" i="24"/>
  <c r="K17" i="24"/>
  <c r="O20" i="24"/>
  <c r="O19" i="24"/>
  <c r="O13" i="24"/>
  <c r="O12" i="24"/>
  <c r="E17" i="24" l="1"/>
  <c r="C17" i="24"/>
  <c r="F44" i="24"/>
  <c r="D27" i="15"/>
  <c r="E27" i="15"/>
  <c r="F27" i="15"/>
  <c r="G27" i="15"/>
  <c r="H27" i="15"/>
  <c r="I27" i="15"/>
  <c r="J27" i="15"/>
  <c r="K27" i="15"/>
  <c r="L27" i="15"/>
  <c r="M27" i="15"/>
  <c r="N27" i="15"/>
  <c r="D28" i="15"/>
  <c r="E28" i="15"/>
  <c r="F28" i="15"/>
  <c r="G28" i="15"/>
  <c r="H28" i="15"/>
  <c r="I28" i="15"/>
  <c r="J28" i="15"/>
  <c r="K28" i="15"/>
  <c r="L28" i="15"/>
  <c r="M28" i="15"/>
  <c r="N28" i="15"/>
  <c r="D29" i="15"/>
  <c r="E29" i="15"/>
  <c r="F29" i="15"/>
  <c r="G29" i="15"/>
  <c r="H29" i="15"/>
  <c r="I29" i="15"/>
  <c r="J29" i="15"/>
  <c r="K29" i="15"/>
  <c r="L29" i="15"/>
  <c r="M29" i="15"/>
  <c r="N29" i="15"/>
  <c r="D30" i="15"/>
  <c r="E30" i="15"/>
  <c r="F30" i="15"/>
  <c r="G30" i="15"/>
  <c r="H30" i="15"/>
  <c r="I30" i="15"/>
  <c r="J30" i="15"/>
  <c r="K30" i="15"/>
  <c r="L30" i="15"/>
  <c r="M30" i="15"/>
  <c r="N30" i="15"/>
  <c r="C30" i="15"/>
  <c r="C29" i="15"/>
  <c r="C28" i="15"/>
  <c r="C27" i="15"/>
  <c r="F16" i="24" l="1"/>
  <c r="F48" i="24" s="1"/>
  <c r="P44" i="24"/>
  <c r="O44" i="24"/>
  <c r="O21" i="24"/>
  <c r="O18" i="24"/>
  <c r="O11" i="24"/>
  <c r="D31" i="15"/>
  <c r="C31" i="15"/>
  <c r="O27" i="15"/>
  <c r="L31" i="15"/>
  <c r="L32" i="15" s="1"/>
  <c r="H31" i="15"/>
  <c r="O28" i="15"/>
  <c r="G31" i="15"/>
  <c r="K31" i="15"/>
  <c r="N31" i="15"/>
  <c r="J31" i="15"/>
  <c r="F31" i="15"/>
  <c r="M31" i="15"/>
  <c r="I31" i="15"/>
  <c r="O30" i="15"/>
  <c r="E31" i="15"/>
  <c r="O29" i="15"/>
  <c r="O48" i="24" l="1"/>
  <c r="O17" i="24" s="1"/>
  <c r="O16" i="24"/>
  <c r="F17" i="24"/>
  <c r="P17" i="24" s="1"/>
  <c r="P48" i="24"/>
  <c r="M32" i="15"/>
  <c r="N32" i="15" s="1"/>
  <c r="C32" i="15" s="1"/>
  <c r="D32" i="15" s="1"/>
  <c r="E32" i="15" s="1"/>
  <c r="F32" i="15" s="1"/>
  <c r="G32" i="15" s="1"/>
  <c r="H32" i="15" s="1"/>
  <c r="I32" i="15" s="1"/>
  <c r="J32" i="15" s="1"/>
  <c r="K32" i="15" s="1"/>
  <c r="O14" i="24"/>
  <c r="O31" i="15"/>
</calcChain>
</file>

<file path=xl/sharedStrings.xml><?xml version="1.0" encoding="utf-8"?>
<sst xmlns="http://schemas.openxmlformats.org/spreadsheetml/2006/main" count="557" uniqueCount="327">
  <si>
    <t>Parameter</t>
  </si>
  <si>
    <t>Units</t>
  </si>
  <si>
    <t>May</t>
  </si>
  <si>
    <t>days/mo</t>
  </si>
  <si>
    <t>Total nitrogen in spray effluent</t>
  </si>
  <si>
    <t>mg/L</t>
  </si>
  <si>
    <t>lb/acre-mo</t>
  </si>
  <si>
    <t>Jan</t>
  </si>
  <si>
    <t>Feb</t>
  </si>
  <si>
    <t>Mar</t>
  </si>
  <si>
    <t>Apr</t>
  </si>
  <si>
    <t>Jun</t>
  </si>
  <si>
    <t>Jul</t>
  </si>
  <si>
    <t>Aug</t>
  </si>
  <si>
    <t>Sept</t>
  </si>
  <si>
    <t>Oct</t>
  </si>
  <si>
    <t>Nov</t>
  </si>
  <si>
    <t>Dec</t>
  </si>
  <si>
    <t>Ammonia in spray effluent</t>
  </si>
  <si>
    <t>Total phosphorus in spray effluent</t>
  </si>
  <si>
    <t>Total phosphorus applied</t>
  </si>
  <si>
    <t>Total</t>
  </si>
  <si>
    <t>Influent Flow to Treatment</t>
  </si>
  <si>
    <t>feet</t>
  </si>
  <si>
    <t>Effluent Flow to all Spray areas combined</t>
  </si>
  <si>
    <t>Annual Daily Average
(Total/365)</t>
  </si>
  <si>
    <t>Annual Monthly Average (Total/ 12 mos.)</t>
  </si>
  <si>
    <t>Permit Design Limit:</t>
  </si>
  <si>
    <t>Storage Lagoon 2
Monthly Average 
Total Volume Stored</t>
  </si>
  <si>
    <t>Permittee</t>
  </si>
  <si>
    <r>
      <t>Facility Name</t>
    </r>
    <r>
      <rPr>
        <u/>
        <sz val="10"/>
        <rFont val="Arial"/>
        <family val="2"/>
      </rPr>
      <t xml:space="preserve">   </t>
    </r>
  </si>
  <si>
    <t>Date</t>
  </si>
  <si>
    <t>Mailing Address</t>
  </si>
  <si>
    <t>Permit Number</t>
  </si>
  <si>
    <r>
      <t xml:space="preserve">Attached Documentation </t>
    </r>
    <r>
      <rPr>
        <sz val="10"/>
        <rFont val="Arial"/>
        <family val="2"/>
      </rPr>
      <t>(Please check)</t>
    </r>
  </si>
  <si>
    <t>Principal Executive Officer</t>
  </si>
  <si>
    <t xml:space="preserve">Name   </t>
  </si>
  <si>
    <t xml:space="preserve">Phone Number   </t>
  </si>
  <si>
    <t xml:space="preserve">Title   </t>
  </si>
  <si>
    <r>
      <t xml:space="preserve">I certify under penalty of law that I have personally examined and am familiar with the information submitted herein, and based on my inquiry of those individuals immediately responsible for obtaining the information, I believe the submitted information is true, accurate and complete and the analyses has been conducted in accordance with the requirements of Section 6.8 of the </t>
    </r>
    <r>
      <rPr>
        <b/>
        <u/>
        <sz val="10"/>
        <rFont val="Arial"/>
        <family val="2"/>
      </rPr>
      <t>Regulations Governing The Design, Installation and Operation of On-Site Wastewater Treatment and Disposal Systems</t>
    </r>
    <r>
      <rPr>
        <b/>
        <sz val="10"/>
        <rFont val="Arial"/>
        <family val="2"/>
      </rPr>
      <t xml:space="preserve">.  
I am aware that there are significant penalties for submitting false information including the possibility of fine and imprisonment. See 7 </t>
    </r>
    <r>
      <rPr>
        <b/>
        <u/>
        <sz val="10"/>
        <rFont val="Arial"/>
        <family val="2"/>
      </rPr>
      <t>Del. C.</t>
    </r>
    <r>
      <rPr>
        <b/>
        <sz val="10"/>
        <rFont val="Arial"/>
        <family val="2"/>
      </rPr>
      <t xml:space="preserve"> Chapter 60 </t>
    </r>
    <r>
      <rPr>
        <b/>
        <sz val="10"/>
        <rFont val="Calibri"/>
        <family val="2"/>
      </rPr>
      <t>§</t>
    </r>
    <r>
      <rPr>
        <b/>
        <sz val="10"/>
        <rFont val="Arial"/>
        <family val="2"/>
      </rPr>
      <t>6013 (b). Penalties under these statutes may include fines up to $5,000 and or maximum imprisonment of up to 6 months.</t>
    </r>
  </si>
  <si>
    <t>Operator Completing Reporting Documentation</t>
  </si>
  <si>
    <t>Name</t>
  </si>
  <si>
    <t xml:space="preserve">License Number  </t>
  </si>
  <si>
    <t xml:space="preserve">Operator Classification  </t>
  </si>
  <si>
    <t>Signature</t>
  </si>
  <si>
    <t xml:space="preserve">Date  </t>
  </si>
  <si>
    <t>Direct Responsible Charge Operator</t>
  </si>
  <si>
    <r>
      <t xml:space="preserve">Delaware Department of Natural Resources and 
Environmental Control </t>
    </r>
    <r>
      <rPr>
        <b/>
        <sz val="3"/>
        <rFont val="CG Times"/>
      </rPr>
      <t xml:space="preserve">
</t>
    </r>
    <r>
      <rPr>
        <b/>
        <sz val="12"/>
        <rFont val="CG Times"/>
      </rPr>
      <t xml:space="preserve">Division of Water, Groundwater Discharges Section
89 Kings Highway, Dover DE 19901 (302) 739-9948  </t>
    </r>
  </si>
  <si>
    <t xml:space="preserve">Expiration Date   </t>
  </si>
  <si>
    <t>6.9.1.12 Vegetative Management</t>
  </si>
  <si>
    <t>6.9.1.13 Calibration Certificates</t>
  </si>
  <si>
    <t>6.8.2.4.1.3 QA/QC Report</t>
  </si>
  <si>
    <t>Max Depth Not Including Freeboard:</t>
  </si>
  <si>
    <t>Effluent to Spray</t>
  </si>
  <si>
    <t>Days Sprayed</t>
  </si>
  <si>
    <t>Total nitrogen from commercial fertilizer</t>
  </si>
  <si>
    <t>Total nitrogen from biosolids</t>
  </si>
  <si>
    <t>Total phosphorus from commercial fertilizer</t>
  </si>
  <si>
    <t>Total phosphorus from biosolids</t>
  </si>
  <si>
    <t>Annual Report General Requirements</t>
  </si>
  <si>
    <t xml:space="preserve">The report must, at a minimum, include the following applicable items. The report must also include any additional items specified in the facility’s permit. </t>
  </si>
  <si>
    <t xml:space="preserve">Regulations </t>
  </si>
  <si>
    <t>Annual Report Components</t>
  </si>
  <si>
    <t xml:space="preserve">Effluent Flow to Disposal </t>
  </si>
  <si>
    <t>6.9.1.3</t>
  </si>
  <si>
    <t>Total Number of Dwellings/Units</t>
  </si>
  <si>
    <t>6.9.1.4</t>
  </si>
  <si>
    <t>6.9.1.5</t>
  </si>
  <si>
    <t>Effluent BOD5 annual average concentration, mg/L</t>
  </si>
  <si>
    <t>6.9.1.6</t>
  </si>
  <si>
    <t>Effluent TSS annual average concentration, mg/L</t>
  </si>
  <si>
    <t xml:space="preserve">6.9.1.7 </t>
  </si>
  <si>
    <t>Effluent Total Nitrogen average and loading</t>
  </si>
  <si>
    <t xml:space="preserve">6.9.1.8 </t>
  </si>
  <si>
    <t xml:space="preserve">Effluent Total Phosphorus average and loading </t>
  </si>
  <si>
    <t>6.9.1.9</t>
  </si>
  <si>
    <t>6.9.1.10</t>
  </si>
  <si>
    <t>Weather Related Information</t>
  </si>
  <si>
    <t>6.9.1.11</t>
  </si>
  <si>
    <t xml:space="preserve">Operational and Maintenance Activities </t>
  </si>
  <si>
    <t>6.9.1.12</t>
  </si>
  <si>
    <t>6.9.1.13</t>
  </si>
  <si>
    <t>6.9.1.14.1 (Spray only)</t>
  </si>
  <si>
    <t xml:space="preserve">Loading Calculations </t>
  </si>
  <si>
    <t>6.9.1.14.2 (Spray only)</t>
  </si>
  <si>
    <t>6.9.1.14.3 (Spray only)</t>
  </si>
  <si>
    <t>6.9.1.14.4 (Spray only)</t>
  </si>
  <si>
    <t>6.9.1.14.5 (Spray only)</t>
  </si>
  <si>
    <t>6.8.2.4.1.3</t>
  </si>
  <si>
    <t>Worksheet 1</t>
  </si>
  <si>
    <t>Where applicable, data may be transferred from the DMR’s.</t>
  </si>
  <si>
    <t xml:space="preserve">Worksheet 2 </t>
  </si>
  <si>
    <t>Design Nitrogen Balance</t>
  </si>
  <si>
    <t>Worksheet 3</t>
  </si>
  <si>
    <t>[1] Permittees that do not have a permit restriction related to dwellings/units are exempt from 6.9.1.3.</t>
  </si>
  <si>
    <t>[2] Permittees that do not have a permit restriction related to dwellings/units are exempt from 6.9.1.4.</t>
  </si>
  <si>
    <t>References</t>
  </si>
  <si>
    <t>United States Department of Agriculture, National Resources Conservation Service (NRCS) Nutrient Content of Crops [https://www.plants.usda.gov/npk/main]</t>
  </si>
  <si>
    <r>
      <t xml:space="preserve">TSS  </t>
    </r>
    <r>
      <rPr>
        <b/>
        <vertAlign val="superscript"/>
        <sz val="10"/>
        <rFont val="Arial"/>
        <family val="2"/>
      </rPr>
      <t>2</t>
    </r>
  </si>
  <si>
    <r>
      <t xml:space="preserve">Monthly Total Precipitation </t>
    </r>
    <r>
      <rPr>
        <b/>
        <vertAlign val="superscript"/>
        <sz val="10"/>
        <rFont val="Arial"/>
        <family val="2"/>
      </rPr>
      <t>3</t>
    </r>
  </si>
  <si>
    <t xml:space="preserve">Zone, pivot or field </t>
  </si>
  <si>
    <t xml:space="preserve">I do not have a copy of the Design Nitrogen Balance and have exhausted all measures of acquiring one, even contacting the DNREC - GWDS. </t>
  </si>
  <si>
    <t>Comments:</t>
  </si>
  <si>
    <t xml:space="preserve">Please check here if additional attachments are included. </t>
  </si>
  <si>
    <t xml:space="preserve">Date </t>
  </si>
  <si>
    <t>Hauler</t>
  </si>
  <si>
    <t>Destination</t>
  </si>
  <si>
    <t xml:space="preserve">Biosolids removed </t>
  </si>
  <si>
    <t>gallons</t>
  </si>
  <si>
    <t>SUM</t>
  </si>
  <si>
    <t>gal/mo</t>
  </si>
  <si>
    <t>gal/acre</t>
  </si>
  <si>
    <t>STORAGE</t>
  </si>
  <si>
    <t>Volume added from Precipitation to system on all treatment and storage lagoons (calculated using line 8 and 50)</t>
  </si>
  <si>
    <t>Volume lost due to Evaporation from system from all treatment and storage lagoons (calculated using line 8)</t>
  </si>
  <si>
    <t>Volume Stored</t>
  </si>
  <si>
    <t>in/
mo-acre</t>
  </si>
  <si>
    <t>Nitrogen Percolate</t>
  </si>
  <si>
    <t>Volume Generated</t>
  </si>
  <si>
    <t>Volume Irrigated</t>
  </si>
  <si>
    <t>Treatment Lagoon and Storage Surface Acreage</t>
  </si>
  <si>
    <t xml:space="preserve">Cumulative Volume Stored </t>
  </si>
  <si>
    <t>acres</t>
  </si>
  <si>
    <t>Peak Monthly Flow (gal)</t>
  </si>
  <si>
    <t xml:space="preserve">Annual Report for Reporting Year </t>
  </si>
  <si>
    <t xml:space="preserve"> </t>
  </si>
  <si>
    <t>Storage Lagoon 1
Monthly Average 
Total Volume Stored</t>
  </si>
  <si>
    <t>6.9.1.9 Biosolids Removed</t>
  </si>
  <si>
    <t>6.9.14.2 Design Nitrogen Balance</t>
  </si>
  <si>
    <t>6.9.14.3 Soils Chemical Data</t>
  </si>
  <si>
    <t>6.9.14.4 Map - Ponding, Pooling or Runoff Areas</t>
  </si>
  <si>
    <t>6.9.14.5 NRCS Nutrient Removal by Crop Tool</t>
  </si>
  <si>
    <t>6.9.1.2.1 - 6.9.1.2.4</t>
  </si>
  <si>
    <t>[1] Operator to include supplemental information as an attachment</t>
  </si>
  <si>
    <t>Worksheet</t>
  </si>
  <si>
    <t>Number of Dwellings/Units connected this year</t>
  </si>
  <si>
    <t>6.9.1.1.1 - 6.9.1.1.4</t>
  </si>
  <si>
    <t xml:space="preserve">This Worksheet satisfies:  6.9.1.1, 6.9.1.2, 6.9.1.5, 6.9.1.6, 6.9.1.7 (in part), 6.9.1.8 (in part), 6.9.1.10 (in part), and 6.9.1.14.2 (in part)
</t>
  </si>
  <si>
    <r>
      <rPr>
        <vertAlign val="superscript"/>
        <sz val="10"/>
        <rFont val="Arial"/>
        <family val="2"/>
      </rPr>
      <t>[2]</t>
    </r>
    <r>
      <rPr>
        <sz val="10"/>
        <rFont val="Arial"/>
        <family val="2"/>
      </rPr>
      <t xml:space="preserve"> Facilities that are not required to collect effluent TSS are exempt from 6.9.1.6</t>
    </r>
  </si>
  <si>
    <r>
      <t>[1]</t>
    </r>
    <r>
      <rPr>
        <sz val="10"/>
        <rFont val="Arial"/>
        <family val="2"/>
      </rPr>
      <t xml:space="preserve"> Facilities that are not required to collect effluent BOD</t>
    </r>
    <r>
      <rPr>
        <vertAlign val="subscript"/>
        <sz val="10"/>
        <rFont val="Arial"/>
        <family val="2"/>
      </rPr>
      <t>5</t>
    </r>
    <r>
      <rPr>
        <sz val="10"/>
        <rFont val="Arial"/>
        <family val="2"/>
      </rPr>
      <t xml:space="preserve"> are exempt from 6.9.1.5</t>
    </r>
  </si>
  <si>
    <r>
      <rPr>
        <vertAlign val="superscript"/>
        <sz val="10"/>
        <rFont val="Arial"/>
        <family val="2"/>
      </rPr>
      <t>[3]</t>
    </r>
    <r>
      <rPr>
        <sz val="10"/>
        <rFont val="Arial"/>
        <family val="2"/>
      </rPr>
      <t xml:space="preserve"> 6.9.1.10 specifies daily rainfall, temperature, wind speed and direction. Only submit monthly precipitation in the above table. The GWDS will review this information during the Annual Inspection. Continue to maintain this information in the operator’s log book, as noted in 6.7.3.</t>
    </r>
    <r>
      <rPr>
        <sz val="8"/>
        <rFont val="Calibri"/>
        <family val="2"/>
      </rPr>
      <t xml:space="preserve"> </t>
    </r>
  </si>
  <si>
    <r>
      <t>BOD</t>
    </r>
    <r>
      <rPr>
        <b/>
        <vertAlign val="subscript"/>
        <sz val="8"/>
        <rFont val="Arial"/>
        <family val="2"/>
      </rPr>
      <t>5</t>
    </r>
    <r>
      <rPr>
        <b/>
        <sz val="8"/>
        <rFont val="Arial"/>
        <family val="2"/>
      </rPr>
      <t xml:space="preserve"> </t>
    </r>
    <r>
      <rPr>
        <b/>
        <vertAlign val="superscript"/>
        <sz val="8"/>
        <rFont val="Arial"/>
        <family val="2"/>
      </rPr>
      <t>1</t>
    </r>
  </si>
  <si>
    <t>If available, compare the most recent Design Nitrogen Balance for the facility to the actual operating data summarized in Worksheets 1 &amp; 2.  Provide any comments relative to major discrepancies. Attach a copy with the Annual Report. (Check one of the following)</t>
  </si>
  <si>
    <t xml:space="preserve">I have attached a copy of the most recent Design Nitrogen Balance and have compared the design values to this year’s operation of the facility. </t>
  </si>
  <si>
    <t xml:space="preserve">Attach map, if applied to any spray irrigation field </t>
  </si>
  <si>
    <t xml:space="preserve">This Worksheet satisfies: 6.9.1.3, 6.9.1.4, 6.9.1.9 and 6.9.1.11 </t>
  </si>
  <si>
    <r>
      <t xml:space="preserve">Total number of dwelling units connected to the system </t>
    </r>
    <r>
      <rPr>
        <vertAlign val="superscript"/>
        <sz val="11"/>
        <rFont val="Arial"/>
        <family val="2"/>
      </rPr>
      <t>1</t>
    </r>
    <r>
      <rPr>
        <sz val="11"/>
        <rFont val="Arial"/>
        <family val="2"/>
      </rPr>
      <t xml:space="preserve">      </t>
    </r>
  </si>
  <si>
    <r>
      <t xml:space="preserve">Number of dwelling units connected this calendar year </t>
    </r>
    <r>
      <rPr>
        <vertAlign val="superscript"/>
        <sz val="11"/>
        <rFont val="Arial"/>
        <family val="2"/>
      </rPr>
      <t>2</t>
    </r>
  </si>
  <si>
    <r>
      <t xml:space="preserve">State of Delaware </t>
    </r>
    <r>
      <rPr>
        <i/>
        <sz val="12"/>
        <color rgb="FF212121"/>
        <rFont val="Arial"/>
        <family val="2"/>
      </rPr>
      <t>Regulations Governing the Design, Installation and Operation of On-Site Wastewater Treatment and Disposal Systems [6.9 Annual Report, pgs 155-156]</t>
    </r>
  </si>
  <si>
    <r>
      <t xml:space="preserve">Permittees covered under the State of Delaware </t>
    </r>
    <r>
      <rPr>
        <i/>
        <sz val="12"/>
        <rFont val="Arial"/>
        <family val="2"/>
      </rPr>
      <t xml:space="preserve">Regulations Governing the Design, Installation and Operation of On-Site Wastewater Treatment and Disposal Systems </t>
    </r>
    <r>
      <rPr>
        <sz val="12"/>
        <rFont val="Arial"/>
        <family val="2"/>
      </rPr>
      <t>must submit an annual report. The permittee shall submit to the Department an annual report summarizing the operations, management, administration and maintenance of the facility for the calendar year. The annual report must be submitted to the Department on or before February 28</t>
    </r>
    <r>
      <rPr>
        <vertAlign val="superscript"/>
        <sz val="12"/>
        <rFont val="Arial"/>
        <family val="2"/>
      </rPr>
      <t>th</t>
    </r>
    <r>
      <rPr>
        <sz val="12"/>
        <rFont val="Arial"/>
        <family val="2"/>
      </rPr>
      <t xml:space="preserve"> of each year. The report </t>
    </r>
    <r>
      <rPr>
        <b/>
        <sz val="12"/>
        <rFont val="Arial"/>
        <family val="2"/>
      </rPr>
      <t>must be free of staples</t>
    </r>
    <r>
      <rPr>
        <sz val="12"/>
        <rFont val="Arial"/>
        <family val="2"/>
      </rPr>
      <t xml:space="preserve"> and must be submitted to the address identified in Section 6.8.4 unless otherwise specified in the facility’s permit. </t>
    </r>
  </si>
  <si>
    <r>
      <t xml:space="preserve">QA/QC Confirmation </t>
    </r>
    <r>
      <rPr>
        <vertAlign val="superscript"/>
        <sz val="10"/>
        <rFont val="Arial"/>
        <family val="2"/>
      </rPr>
      <t>1</t>
    </r>
  </si>
  <si>
    <r>
      <t xml:space="preserve">Biosolids Information </t>
    </r>
    <r>
      <rPr>
        <vertAlign val="superscript"/>
        <sz val="10"/>
        <rFont val="Arial"/>
        <family val="2"/>
      </rPr>
      <t>1</t>
    </r>
  </si>
  <si>
    <r>
      <t xml:space="preserve">Vegetative Management Practices </t>
    </r>
    <r>
      <rPr>
        <vertAlign val="superscript"/>
        <sz val="10"/>
        <rFont val="Arial"/>
        <family val="2"/>
      </rPr>
      <t>1</t>
    </r>
  </si>
  <si>
    <r>
      <t xml:space="preserve">Calibration Certificates </t>
    </r>
    <r>
      <rPr>
        <vertAlign val="superscript"/>
        <sz val="10"/>
        <rFont val="Arial"/>
        <family val="2"/>
      </rPr>
      <t>1</t>
    </r>
  </si>
  <si>
    <r>
      <t xml:space="preserve">Nitrogen Balance </t>
    </r>
    <r>
      <rPr>
        <vertAlign val="superscript"/>
        <sz val="10"/>
        <rFont val="Arial"/>
        <family val="2"/>
      </rPr>
      <t>1</t>
    </r>
  </si>
  <si>
    <r>
      <t xml:space="preserve">Soils Report </t>
    </r>
    <r>
      <rPr>
        <vertAlign val="superscript"/>
        <sz val="10"/>
        <rFont val="Arial"/>
        <family val="2"/>
      </rPr>
      <t>1</t>
    </r>
  </si>
  <si>
    <r>
      <t xml:space="preserve">Map- ponding/pooling in spray areas </t>
    </r>
    <r>
      <rPr>
        <vertAlign val="superscript"/>
        <sz val="10"/>
        <rFont val="Arial"/>
        <family val="2"/>
      </rPr>
      <t>1</t>
    </r>
  </si>
  <si>
    <r>
      <t xml:space="preserve">Crop Removal Information </t>
    </r>
    <r>
      <rPr>
        <vertAlign val="superscript"/>
        <sz val="10"/>
        <rFont val="Arial"/>
        <family val="2"/>
      </rPr>
      <t>1</t>
    </r>
  </si>
  <si>
    <r>
      <t>Operational and Maintenance Activities</t>
    </r>
    <r>
      <rPr>
        <sz val="10"/>
        <rFont val="Arial"/>
        <family val="2"/>
      </rPr>
      <t xml:space="preserve">. </t>
    </r>
  </si>
  <si>
    <t>Conversion Factors</t>
  </si>
  <si>
    <t>cfs to gpm</t>
  </si>
  <si>
    <t>gpm to gpd</t>
  </si>
  <si>
    <t>ft to in</t>
  </si>
  <si>
    <t>cf to gallon</t>
  </si>
  <si>
    <t>acre to sq ft.</t>
  </si>
  <si>
    <t>million gallons to acre-in</t>
  </si>
  <si>
    <t>week to days</t>
  </si>
  <si>
    <t>lbs/gal to mg/L</t>
  </si>
  <si>
    <t>Month List</t>
  </si>
  <si>
    <t>Month List Abbreviated</t>
  </si>
  <si>
    <t>Days</t>
  </si>
  <si>
    <t>January</t>
  </si>
  <si>
    <t>February</t>
  </si>
  <si>
    <t>March</t>
  </si>
  <si>
    <t>April</t>
  </si>
  <si>
    <t>June</t>
  </si>
  <si>
    <t>July</t>
  </si>
  <si>
    <t>August</t>
  </si>
  <si>
    <t>September</t>
  </si>
  <si>
    <t>Sep</t>
  </si>
  <si>
    <t>October</t>
  </si>
  <si>
    <t>November</t>
  </si>
  <si>
    <t>December</t>
  </si>
  <si>
    <t>Climatological Normal Temperatures (Ta) and Thornthwaite Potential Evapotranspiration for the US Weather Service Stations in Delaware</t>
  </si>
  <si>
    <t>Climatological Normal Precipitation (P) and 5-Year Return Period Monthly Precipitation Data (P5) for the Long-Term US Weather Service Stations in Delaware</t>
  </si>
  <si>
    <r>
      <t>Ta (</t>
    </r>
    <r>
      <rPr>
        <b/>
        <sz val="11"/>
        <color theme="1"/>
        <rFont val="Calibri"/>
        <family val="2"/>
      </rPr>
      <t>°F)</t>
    </r>
  </si>
  <si>
    <t>PET (inches)</t>
  </si>
  <si>
    <t>P (inches)</t>
  </si>
  <si>
    <t>P5 (inches)</t>
  </si>
  <si>
    <t>Station</t>
  </si>
  <si>
    <t>Annual Total</t>
  </si>
  <si>
    <t>Newark University Farm</t>
  </si>
  <si>
    <t>Wilminton WSO AP</t>
  </si>
  <si>
    <t>Wilminton Porter Resvr</t>
  </si>
  <si>
    <t>Middletown</t>
  </si>
  <si>
    <t>Bridgeville 4 NW</t>
  </si>
  <si>
    <t>Dover</t>
  </si>
  <si>
    <t>Georgetown 5 SW</t>
  </si>
  <si>
    <t>Lewes</t>
  </si>
  <si>
    <t>Milford SE</t>
  </si>
  <si>
    <t>Source: DNREC Exhibit JJ, issued January 2014 and DNREC Exhibit KK, issued January 2014.</t>
  </si>
  <si>
    <t>See Definitions section of regulations for definition of Ta and PET</t>
  </si>
  <si>
    <t>Monthly Percent Total Nitrogen Uptake</t>
  </si>
  <si>
    <t>Crop</t>
  </si>
  <si>
    <t>Crop Abbreviation</t>
  </si>
  <si>
    <t>Corn</t>
  </si>
  <si>
    <t>Wheat</t>
  </si>
  <si>
    <t>Barley</t>
  </si>
  <si>
    <t>Soybean</t>
  </si>
  <si>
    <t>Cover</t>
  </si>
  <si>
    <t>MH (E)</t>
  </si>
  <si>
    <t>MH (S)</t>
  </si>
  <si>
    <t>LP</t>
  </si>
  <si>
    <t>LP (U)</t>
  </si>
  <si>
    <t>RC</t>
  </si>
  <si>
    <t>Monthly Average Daylight Hours for Thornthwaite Potential Evapotranspiration</t>
  </si>
  <si>
    <r>
      <t>Latitude: 39</t>
    </r>
    <r>
      <rPr>
        <sz val="11"/>
        <color theme="1"/>
        <rFont val="Calibri"/>
        <family val="2"/>
      </rPr>
      <t>° North</t>
    </r>
  </si>
  <si>
    <r>
      <t>Duration on 15</t>
    </r>
    <r>
      <rPr>
        <vertAlign val="superscript"/>
        <sz val="11"/>
        <color theme="1"/>
        <rFont val="Calibri"/>
        <family val="2"/>
        <scheme val="minor"/>
      </rPr>
      <t>th</t>
    </r>
    <r>
      <rPr>
        <sz val="10"/>
        <rFont val="Arial"/>
        <family val="2"/>
      </rPr>
      <t xml:space="preserve"> Day of Month</t>
    </r>
  </si>
  <si>
    <t>Month</t>
  </si>
  <si>
    <t>Hours / 12</t>
  </si>
  <si>
    <t>Hours</t>
  </si>
  <si>
    <t>Source: DNREC Exhibit II, issued January 2014.</t>
  </si>
  <si>
    <r>
      <t>DNREC allows use of 39</t>
    </r>
    <r>
      <rPr>
        <sz val="11"/>
        <color theme="1"/>
        <rFont val="Calibri"/>
        <family val="2"/>
      </rPr>
      <t>° N for all latitudes in Delaware.</t>
    </r>
  </si>
  <si>
    <t>Determination of Annual Deposition of Nitrogen in Precipitation</t>
  </si>
  <si>
    <t>Data from National Atmospheric Deposition Program National Trends Network (NTN) (http://nadp.sws.uiuc.edu/data/sites/siteDetails.aspx?net=NTN&amp;id=DE99)</t>
  </si>
  <si>
    <t>Trap Pond State Park (DE99) is the only station in Delaware, and has six years worth of data available.</t>
  </si>
  <si>
    <t>Measured values in kg/ha</t>
  </si>
  <si>
    <t>Calculated Values in lbs/acre</t>
  </si>
  <si>
    <t>Site Name</t>
  </si>
  <si>
    <t>Site ID</t>
  </si>
  <si>
    <t>Summary Period</t>
  </si>
  <si>
    <t>Year</t>
  </si>
  <si>
    <t>Ca</t>
  </si>
  <si>
    <t>Mg</t>
  </si>
  <si>
    <t>K</t>
  </si>
  <si>
    <t>Na</t>
  </si>
  <si>
    <t>NH4</t>
  </si>
  <si>
    <r>
      <t>NO</t>
    </r>
    <r>
      <rPr>
        <b/>
        <vertAlign val="subscript"/>
        <sz val="10"/>
        <rFont val="Arial"/>
        <family val="2"/>
      </rPr>
      <t>3</t>
    </r>
  </si>
  <si>
    <t>Inorganic N</t>
  </si>
  <si>
    <t>Cl</t>
  </si>
  <si>
    <r>
      <t>SO</t>
    </r>
    <r>
      <rPr>
        <b/>
        <vertAlign val="subscript"/>
        <sz val="10"/>
        <rFont val="Arial"/>
        <family val="2"/>
      </rPr>
      <t>4</t>
    </r>
  </si>
  <si>
    <t>Precip (cm)</t>
  </si>
  <si>
    <r>
      <t>NH</t>
    </r>
    <r>
      <rPr>
        <b/>
        <vertAlign val="subscript"/>
        <sz val="10"/>
        <rFont val="Arial"/>
        <family val="2"/>
      </rPr>
      <t>4</t>
    </r>
  </si>
  <si>
    <t>Trap Pond State Park</t>
  </si>
  <si>
    <t>DE99</t>
  </si>
  <si>
    <t>Annual</t>
  </si>
  <si>
    <t>The 6-year average value is 3.7 lb/acre, and the maximum is 5.2 lb/acre.</t>
  </si>
  <si>
    <t>Based on this data, using a design value of 5 lb/acre for nitrogen added via precipitation is reasonable.</t>
  </si>
  <si>
    <t xml:space="preserve">Calculation Notes: </t>
  </si>
  <si>
    <r>
      <t>The report breaks down Inorganic N into NH</t>
    </r>
    <r>
      <rPr>
        <vertAlign val="subscript"/>
        <sz val="10"/>
        <rFont val="Arial"/>
        <family val="2"/>
      </rPr>
      <t>4</t>
    </r>
    <r>
      <rPr>
        <sz val="10"/>
        <rFont val="Arial"/>
        <family val="2"/>
      </rPr>
      <t xml:space="preserve"> and NO</t>
    </r>
    <r>
      <rPr>
        <vertAlign val="subscript"/>
        <sz val="10"/>
        <rFont val="Arial"/>
        <family val="2"/>
      </rPr>
      <t>3</t>
    </r>
    <r>
      <rPr>
        <sz val="10"/>
        <rFont val="Arial"/>
        <family val="2"/>
      </rPr>
      <t>, and the reported deposition is based on molecular weight of the compound, rather than just the nitrogen. The value we are interested in is the Inorganic N.</t>
    </r>
  </si>
  <si>
    <t>(1 kg/ha = 0.892179 lb/acre)</t>
  </si>
  <si>
    <r>
      <t>(NO</t>
    </r>
    <r>
      <rPr>
        <vertAlign val="subscript"/>
        <sz val="10"/>
        <rFont val="Arial"/>
        <family val="2"/>
      </rPr>
      <t>3</t>
    </r>
    <r>
      <rPr>
        <sz val="10"/>
        <rFont val="Arial"/>
        <family val="2"/>
      </rPr>
      <t xml:space="preserve"> = 22.59% Nitrogen)</t>
    </r>
  </si>
  <si>
    <r>
      <t>(NH</t>
    </r>
    <r>
      <rPr>
        <vertAlign val="subscript"/>
        <sz val="10"/>
        <rFont val="Arial"/>
        <family val="2"/>
      </rPr>
      <t>4</t>
    </r>
    <r>
      <rPr>
        <sz val="10"/>
        <rFont val="Arial"/>
        <family val="2"/>
      </rPr>
      <t xml:space="preserve"> = 77.64% Nitrogen)</t>
    </r>
  </si>
  <si>
    <t>(Accessed on 2/27/2017)</t>
  </si>
  <si>
    <t>N/A</t>
  </si>
  <si>
    <t>Default N Removal 
(lbs/acre/year)</t>
  </si>
  <si>
    <t>Default Yield 
(bushel/acre)</t>
  </si>
  <si>
    <t>N 
(lbs/bushel)</t>
  </si>
  <si>
    <t>Default P Removal
(lbs/acre/year)</t>
  </si>
  <si>
    <t>Percent P in P2O5</t>
  </si>
  <si>
    <r>
      <t>P</t>
    </r>
    <r>
      <rPr>
        <vertAlign val="subscript"/>
        <sz val="10"/>
        <rFont val="Arial"/>
        <family val="2"/>
      </rPr>
      <t>2</t>
    </r>
    <r>
      <rPr>
        <sz val="10"/>
        <rFont val="Arial"/>
        <family val="2"/>
      </rPr>
      <t>O</t>
    </r>
    <r>
      <rPr>
        <vertAlign val="subscript"/>
        <sz val="10"/>
        <rFont val="Arial"/>
        <family val="2"/>
      </rPr>
      <t>5</t>
    </r>
    <r>
      <rPr>
        <sz val="10"/>
        <rFont val="Arial"/>
        <family val="2"/>
      </rPr>
      <t xml:space="preserve"> 
(lbs/bushel)</t>
    </r>
  </si>
  <si>
    <t>Annual N from Fixation</t>
  </si>
  <si>
    <r>
      <t>1) Annual removal based on default yield assumption. N and P</t>
    </r>
    <r>
      <rPr>
        <vertAlign val="subscript"/>
        <sz val="10"/>
        <rFont val="Arial"/>
        <family val="2"/>
      </rPr>
      <t>2</t>
    </r>
    <r>
      <rPr>
        <sz val="10"/>
        <rFont val="Arial"/>
        <family val="2"/>
      </rPr>
      <t>O</t>
    </r>
    <r>
      <rPr>
        <vertAlign val="subscript"/>
        <sz val="10"/>
        <rFont val="Arial"/>
        <family val="2"/>
      </rPr>
      <t>5</t>
    </r>
    <r>
      <rPr>
        <sz val="10"/>
        <rFont val="Arial"/>
        <family val="2"/>
      </rPr>
      <t xml:space="preserve"> per bushel based on University of Delaware assumptions at 15.5% moisture. Lbs P</t>
    </r>
    <r>
      <rPr>
        <vertAlign val="subscript"/>
        <sz val="10"/>
        <rFont val="Arial"/>
        <family val="2"/>
      </rPr>
      <t>2</t>
    </r>
    <r>
      <rPr>
        <sz val="10"/>
        <rFont val="Arial"/>
        <family val="2"/>
      </rPr>
      <t>O</t>
    </r>
    <r>
      <rPr>
        <vertAlign val="subscript"/>
        <sz val="10"/>
        <rFont val="Arial"/>
        <family val="2"/>
      </rPr>
      <t>5</t>
    </r>
    <r>
      <rPr>
        <sz val="10"/>
        <rFont val="Arial"/>
        <family val="2"/>
      </rPr>
      <t xml:space="preserve"> has been converted to lbs P using molecular weight.</t>
    </r>
  </si>
  <si>
    <r>
      <t>2) Annual removal based on default yield assumption. N and P</t>
    </r>
    <r>
      <rPr>
        <vertAlign val="subscript"/>
        <sz val="10"/>
        <rFont val="Arial"/>
        <family val="2"/>
      </rPr>
      <t>2</t>
    </r>
    <r>
      <rPr>
        <sz val="10"/>
        <rFont val="Arial"/>
        <family val="2"/>
      </rPr>
      <t>O</t>
    </r>
    <r>
      <rPr>
        <vertAlign val="subscript"/>
        <sz val="10"/>
        <rFont val="Arial"/>
        <family val="2"/>
      </rPr>
      <t>5</t>
    </r>
    <r>
      <rPr>
        <sz val="10"/>
        <rFont val="Arial"/>
        <family val="2"/>
      </rPr>
      <t xml:space="preserve"> per bushel based on University of Delaware assumptions at 13% moisture. Lbs P</t>
    </r>
    <r>
      <rPr>
        <vertAlign val="subscript"/>
        <sz val="10"/>
        <rFont val="Arial"/>
        <family val="2"/>
      </rPr>
      <t>2</t>
    </r>
    <r>
      <rPr>
        <sz val="10"/>
        <rFont val="Arial"/>
        <family val="2"/>
      </rPr>
      <t>O</t>
    </r>
    <r>
      <rPr>
        <vertAlign val="subscript"/>
        <sz val="10"/>
        <rFont val="Arial"/>
        <family val="2"/>
      </rPr>
      <t>5</t>
    </r>
    <r>
      <rPr>
        <sz val="10"/>
        <rFont val="Arial"/>
        <family val="2"/>
      </rPr>
      <t xml:space="preserve"> has been converted to lbs P using molecular weight.</t>
    </r>
  </si>
  <si>
    <r>
      <t>3) Annual removal based on default yield assumption. N and P</t>
    </r>
    <r>
      <rPr>
        <vertAlign val="subscript"/>
        <sz val="10"/>
        <rFont val="Arial"/>
        <family val="2"/>
      </rPr>
      <t>2</t>
    </r>
    <r>
      <rPr>
        <sz val="10"/>
        <rFont val="Arial"/>
        <family val="2"/>
      </rPr>
      <t>O</t>
    </r>
    <r>
      <rPr>
        <vertAlign val="subscript"/>
        <sz val="10"/>
        <rFont val="Arial"/>
        <family val="2"/>
      </rPr>
      <t>5</t>
    </r>
    <r>
      <rPr>
        <sz val="10"/>
        <rFont val="Arial"/>
        <family val="2"/>
      </rPr>
      <t xml:space="preserve"> per bushel based on University of Delaware assumptions at 14% moisture. Lbs P</t>
    </r>
    <r>
      <rPr>
        <vertAlign val="subscript"/>
        <sz val="10"/>
        <rFont val="Arial"/>
        <family val="2"/>
      </rPr>
      <t>2</t>
    </r>
    <r>
      <rPr>
        <sz val="10"/>
        <rFont val="Arial"/>
        <family val="2"/>
      </rPr>
      <t>O</t>
    </r>
    <r>
      <rPr>
        <vertAlign val="subscript"/>
        <sz val="10"/>
        <rFont val="Arial"/>
        <family val="2"/>
      </rPr>
      <t>5</t>
    </r>
    <r>
      <rPr>
        <sz val="10"/>
        <rFont val="Arial"/>
        <family val="2"/>
      </rPr>
      <t xml:space="preserve"> has been converted to lbs P using molecular weight.</t>
    </r>
  </si>
  <si>
    <r>
      <t>4) Annual removal based on default yield assumption. N and P</t>
    </r>
    <r>
      <rPr>
        <vertAlign val="subscript"/>
        <sz val="10"/>
        <rFont val="Arial"/>
        <family val="2"/>
      </rPr>
      <t>2</t>
    </r>
    <r>
      <rPr>
        <sz val="10"/>
        <rFont val="Arial"/>
        <family val="2"/>
      </rPr>
      <t>O</t>
    </r>
    <r>
      <rPr>
        <vertAlign val="subscript"/>
        <sz val="10"/>
        <rFont val="Arial"/>
        <family val="2"/>
      </rPr>
      <t>5</t>
    </r>
    <r>
      <rPr>
        <sz val="10"/>
        <rFont val="Arial"/>
        <family val="2"/>
      </rPr>
      <t xml:space="preserve"> per bushel based on University of Delaware assumptions at 13% moisture. Lbs P</t>
    </r>
    <r>
      <rPr>
        <vertAlign val="subscript"/>
        <sz val="10"/>
        <rFont val="Arial"/>
        <family val="2"/>
      </rPr>
      <t>2</t>
    </r>
    <r>
      <rPr>
        <sz val="10"/>
        <rFont val="Arial"/>
        <family val="2"/>
      </rPr>
      <t>O</t>
    </r>
    <r>
      <rPr>
        <vertAlign val="subscript"/>
        <sz val="10"/>
        <rFont val="Arial"/>
        <family val="2"/>
      </rPr>
      <t>5</t>
    </r>
    <r>
      <rPr>
        <sz val="10"/>
        <rFont val="Arial"/>
        <family val="2"/>
      </rPr>
      <t xml:space="preserve"> has been converted to lbs P using molecular weight.  Soybean Fixation based on recommendation from Delaware Department of Agriculture representatives agreed upon by Spray Irrigation Program Committee hosted by DNREC on 4/25/2017. See University of Delaware Cooperative Extension, "Nitrogen Managment for Soybean" (http://extension.udel.edu/factsheets/nitrogen-management-for-soybean/) and Cornell University Field Crops, "Planting Soybeans" (https://fieldcrops.cals.cornell.edu/soybeans/planting-soybeans). Note: if soybeans are planted full season as opposed to double-cropped behind a small grain, the monthly values would shift.</t>
    </r>
  </si>
  <si>
    <t>See Note:</t>
  </si>
  <si>
    <t>Reed Canarygrass</t>
  </si>
  <si>
    <t>Loblolly Pine (with understory)</t>
  </si>
  <si>
    <t>Loblolly Pine (no understory)</t>
  </si>
  <si>
    <t>Mixed Hardwood (Southern)</t>
  </si>
  <si>
    <t>Mixed Hardwood (Eastern)</t>
  </si>
  <si>
    <t>Measured Yield If Known (bu/acre)</t>
  </si>
  <si>
    <t>Default Yield (bu/acre)</t>
  </si>
  <si>
    <t>Annual Nitrogen from Precipitation (lbs/acre/year):</t>
  </si>
  <si>
    <t>*Based on National Atmospheric Deposition Program NTN data for Site DE99, 2003-2008.</t>
  </si>
  <si>
    <t>Monthly Nitrogen from Prec:</t>
  </si>
  <si>
    <t>Total nitrogen from fixation</t>
  </si>
  <si>
    <t>lbs/acre-mo</t>
  </si>
  <si>
    <t>Total nitrogen from precipitation</t>
  </si>
  <si>
    <t>Crop nitrogen removal</t>
  </si>
  <si>
    <t>Denitrification</t>
  </si>
  <si>
    <t>Ammonia Volatilization</t>
  </si>
  <si>
    <t>Assumed Ammonia Volatilization</t>
  </si>
  <si>
    <t>Total nitrogen in percolate</t>
  </si>
  <si>
    <t>Spray Hydraulic Application</t>
  </si>
  <si>
    <t>Thornwaite Potential Evapotranspiration</t>
  </si>
  <si>
    <t>Percolate volume</t>
  </si>
  <si>
    <t>gallons to acre-in</t>
  </si>
  <si>
    <t>acre-in/mo</t>
  </si>
  <si>
    <t>Crop 1:</t>
  </si>
  <si>
    <t>Crop 2:</t>
  </si>
  <si>
    <t>Crop 3:</t>
  </si>
  <si>
    <t>Nearest Weather Station:</t>
  </si>
  <si>
    <t>Total nitrogen removal</t>
  </si>
  <si>
    <t>Average</t>
  </si>
  <si>
    <t>Annual N Removal (lb/acre)</t>
  </si>
  <si>
    <t>Annual P
Removal 
(lb/year)</t>
  </si>
  <si>
    <t xml:space="preserve"> Permit Limit /
Design Value</t>
  </si>
  <si>
    <t>Wetted Area (acres):</t>
  </si>
  <si>
    <t>For fertilizer and biosolids, it is assumed that 75% of the nitrogen applied in a given month is available that month, and 25% is carried over to be available the following month. The exception is January, which for simplicity is assumed to be based 100% on the current month. Fertilizer is not typically applied in December and January, so this should not be a major issue.</t>
  </si>
  <si>
    <t>The phosphorus from fertilizer and biosolids is simply totaled at 100% per month, because only annual totals are required for phosphorus and there is no monthly percolate calculation.</t>
  </si>
  <si>
    <t>Instructions:</t>
  </si>
  <si>
    <t>1) Each zone, pivot, or field should have a separate worksheet. Wrksht 2 may be copied and pasted to accomodate multiple areas.</t>
  </si>
  <si>
    <t>General Notes:</t>
  </si>
  <si>
    <t>2) Where applicable, data may be transferred from the DMR's.</t>
  </si>
  <si>
    <t>3) Fill out all orange cells that are applicable.</t>
  </si>
  <si>
    <t>Notes:</t>
  </si>
  <si>
    <t xml:space="preserve">1) 75% of nitrogen from fertilizer and biosolids is considered available the current month, and 25% available the following month. (With the exception of January.) </t>
  </si>
  <si>
    <t xml:space="preserve">2) This worksheet uses a standard set of assumptions for monthly uptake based on a typical planting cycle. If crops are planted ahead or behind this schedule, these assumptions may not be valid. </t>
  </si>
  <si>
    <t>3) For cases where non-standard conditions are present, alternate calculations with appropriate justification may be submitted for approval.</t>
  </si>
  <si>
    <t>Hidden Calculations</t>
  </si>
  <si>
    <t>Total nitrogen applied</t>
  </si>
  <si>
    <t>5) Total Nitrogen Applied is compared (without adjustment) to your Permitted Nitrogen Loading Limit.</t>
  </si>
  <si>
    <t>4) This Worksheet satisfies:  6.9.1.7 (in part), 6.9.1.8 (in part), 6.9.1.14.1, 6.9.1.14.2 (in part), and 6.9.1.14.5</t>
  </si>
  <si>
    <t>4) The order of the crop list (Crop 1, Crop 2, Crop 3) does not matter. If fewer than three crops are planted, the remaining crop listings can either be set to 'Cover' or left blank.</t>
  </si>
  <si>
    <t>Hidden General Data and Constants:</t>
  </si>
  <si>
    <t>6) Annual Nitrogen Removal based on EPA Process Design Manual, Land Treatment of Municipal Wastewater Effluents, 2006, Table 4-11. Hardwood monthly distribution based on normalizing Exhibit J-J Thornthwaite Potential Evapotranspiration for the selected weather station. Loblolly Pine monthly distribution based on normalizing Figure 3 (E, I-1) from Samuelson, Lisa J., et. al. "Fertilization but not irrigation influences hydraulic traits in plantation-grown loblolly pine." Forest Ecology and Management 255.8-9 (2008). Annual Phosphorus removal based on assumed above-ground phosphorus content for mature trees of 52 kg/ha, and assuming a 30-year growth cycle. (Thomas, Peter, et. al. "Ecology of Woodlands and Forests: Description, Dynamics, and Diversity." 2003. Table 8.2.)</t>
  </si>
  <si>
    <t>7) Reed Canarygrass removal value taken from the USDA Nutrient Content of Crops (using "Canarygrass-Reed, for hay"). Yield and moisture estimates based on suggested value from Delaware Department of Agriculture representative at 4/25/2017 Spray Irrigation Program Committee hosted by DNREC, assuming three harvests per year. Monthly distribution based on normalizing Exhibit J-J Thornthwaite Potential Evapotranspiration for the selected weather station.</t>
  </si>
  <si>
    <t>Actual Monthly Precipitation</t>
  </si>
  <si>
    <t>For any given month, if samples are not taken for Nitrogen, Ammonia, Phoshporus, BOD or TSS, please leave those cells blank for that month.</t>
  </si>
  <si>
    <t>Orchard Grass</t>
  </si>
  <si>
    <t>OG</t>
  </si>
  <si>
    <t>Actual N Removal 
If Known (lbs/acre/year)</t>
  </si>
  <si>
    <t>Actual P Removal 
If Known 
(lbs/acre/year)</t>
  </si>
  <si>
    <t xml:space="preserve">5) Cover crop is not harvested, and assumed to have minimal impact on the nitrogen cycle. In reality there will be some uptake of nitrogen which is later returned to the soil. Assuming 25 lbs/acre-yr. </t>
  </si>
  <si>
    <t>Turf Grass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</si>
</sst>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00"/>
    <numFmt numFmtId="168" formatCode="#,##0.0000"/>
    <numFmt numFmtId="169" formatCode="0.0%"/>
    <numFmt numFmtId="170" formatCode="#,##0.0;#,##0.0;&quot;-&quot;;@"/>
    <numFmt numFmtId="171" formatCode="#,##0;#,##0;&quot;-&quot;;@"/>
  </numFmts>
  <fonts count="7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sz val="10"/>
      <color theme="1"/>
      <name val="Arial"/>
      <family val="2"/>
    </font>
    <font>
      <b/>
      <sz val="12"/>
      <name val="Arial"/>
      <family val="2"/>
    </font>
    <font>
      <sz val="9"/>
      <name val="Arial"/>
      <family val="2"/>
    </font>
    <font>
      <b/>
      <sz val="9"/>
      <name val="Arial"/>
      <family val="2"/>
    </font>
    <font>
      <b/>
      <sz val="8"/>
      <name val="Arial"/>
      <family val="2"/>
    </font>
    <font>
      <b/>
      <sz val="16"/>
      <name val="CG Times"/>
    </font>
    <font>
      <b/>
      <sz val="3"/>
      <name val="CG Times"/>
    </font>
    <font>
      <b/>
      <sz val="12"/>
      <name val="CG Times"/>
    </font>
    <font>
      <b/>
      <sz val="14"/>
      <name val="Times New Roman"/>
      <family val="1"/>
    </font>
    <font>
      <u/>
      <sz val="10"/>
      <name val="Arial"/>
      <family val="2"/>
    </font>
    <font>
      <b/>
      <u/>
      <sz val="10"/>
      <name val="Arial"/>
      <family val="2"/>
    </font>
    <font>
      <b/>
      <sz val="10"/>
      <name val="Calibri"/>
      <family val="2"/>
    </font>
    <font>
      <u/>
      <sz val="10"/>
      <color theme="10"/>
      <name val="Arial"/>
      <family val="2"/>
    </font>
    <font>
      <sz val="11"/>
      <name val="Calibri"/>
      <family val="2"/>
    </font>
    <font>
      <sz val="12"/>
      <name val="Calibri"/>
      <family val="2"/>
    </font>
    <font>
      <sz val="8"/>
      <name val="Calibri"/>
      <family val="2"/>
    </font>
    <font>
      <vertAlign val="superscript"/>
      <sz val="8"/>
      <name val="Calibri"/>
      <family val="2"/>
    </font>
    <font>
      <b/>
      <u/>
      <sz val="18"/>
      <name val="Calibri"/>
      <family val="2"/>
    </font>
    <font>
      <sz val="11"/>
      <color rgb="FF212121"/>
      <name val="Calibri"/>
      <family val="2"/>
    </font>
    <font>
      <i/>
      <sz val="12"/>
      <color rgb="FF212121"/>
      <name val="Calibri"/>
      <family val="2"/>
    </font>
    <font>
      <b/>
      <vertAlign val="superscript"/>
      <sz val="8"/>
      <name val="Arial"/>
      <family val="2"/>
    </font>
    <font>
      <b/>
      <vertAlign val="superscript"/>
      <sz val="10"/>
      <name val="Arial"/>
      <family val="2"/>
    </font>
    <font>
      <vertAlign val="superscript"/>
      <sz val="10"/>
      <name val="Arial"/>
      <family val="2"/>
    </font>
    <font>
      <sz val="10"/>
      <name val="Calibri"/>
      <family val="2"/>
      <scheme val="minor"/>
    </font>
    <font>
      <b/>
      <sz val="14"/>
      <name val="Calibri"/>
      <family val="2"/>
      <scheme val="minor"/>
    </font>
    <font>
      <sz val="1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rgb="FFFF0000"/>
      <name val="Arial"/>
      <family val="2"/>
    </font>
    <font>
      <b/>
      <sz val="10"/>
      <color theme="1"/>
      <name val="Arial"/>
      <family val="2"/>
    </font>
    <font>
      <sz val="8"/>
      <color rgb="FF000000"/>
      <name val="Tahoma"/>
      <family val="2"/>
    </font>
    <font>
      <vertAlign val="subscript"/>
      <sz val="10"/>
      <name val="Arial"/>
      <family val="2"/>
    </font>
    <font>
      <b/>
      <vertAlign val="subscript"/>
      <sz val="8"/>
      <name val="Arial"/>
      <family val="2"/>
    </font>
    <font>
      <sz val="11"/>
      <name val="Arial"/>
      <family val="2"/>
    </font>
    <font>
      <sz val="12"/>
      <name val="Arial"/>
      <family val="2"/>
    </font>
    <font>
      <vertAlign val="superscript"/>
      <sz val="12"/>
      <name val="Arial"/>
      <family val="2"/>
    </font>
    <font>
      <b/>
      <sz val="11"/>
      <name val="Arial"/>
      <family val="2"/>
    </font>
    <font>
      <vertAlign val="superscript"/>
      <sz val="11"/>
      <name val="Arial"/>
      <family val="2"/>
    </font>
    <font>
      <u/>
      <sz val="11"/>
      <color theme="10"/>
      <name val="Arial"/>
      <family val="2"/>
    </font>
    <font>
      <i/>
      <sz val="10"/>
      <name val="Arial"/>
      <family val="2"/>
    </font>
    <font>
      <i/>
      <sz val="12"/>
      <name val="Arial"/>
      <family val="2"/>
    </font>
    <font>
      <sz val="12"/>
      <color rgb="FF212121"/>
      <name val="Arial"/>
      <family val="2"/>
    </font>
    <font>
      <i/>
      <sz val="12"/>
      <color rgb="FF212121"/>
      <name val="Arial"/>
      <family val="2"/>
    </font>
    <font>
      <b/>
      <u/>
      <sz val="14"/>
      <name val="Arial"/>
      <family val="2"/>
    </font>
    <font>
      <b/>
      <u/>
      <sz val="14"/>
      <color rgb="FF212121"/>
      <name val="Arial"/>
      <family val="2"/>
    </font>
    <font>
      <b/>
      <sz val="14"/>
      <name val="Arial"/>
      <family val="2"/>
    </font>
    <font>
      <b/>
      <sz val="11"/>
      <color theme="1"/>
      <name val="Calibri"/>
      <family val="2"/>
    </font>
    <font>
      <sz val="11"/>
      <color theme="1"/>
      <name val="Calibri"/>
      <family val="2"/>
    </font>
    <font>
      <vertAlign val="superscript"/>
      <sz val="11"/>
      <color theme="1"/>
      <name val="Calibri"/>
      <family val="2"/>
      <scheme val="minor"/>
    </font>
    <font>
      <b/>
      <i/>
      <sz val="10"/>
      <name val="Arial"/>
      <family val="2"/>
    </font>
    <font>
      <b/>
      <vertAlign val="subscript"/>
      <sz val="10"/>
      <name val="Arial"/>
      <family val="2"/>
    </font>
    <font>
      <sz val="10"/>
      <name val="Tahoma"/>
      <family val="2"/>
    </font>
    <font>
      <sz val="11"/>
      <color rgb="FF3F3F3F"/>
      <name val="Calibri"/>
      <family val="2"/>
      <scheme val="minor"/>
    </font>
  </fonts>
  <fills count="4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63"/>
        <b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theme="0" tint="-0.14996795556505021"/>
        <bgColor indexed="64"/>
      </patternFill>
    </fill>
  </fills>
  <borders count="95">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1"/>
      </left>
      <right style="thin">
        <color theme="0" tint="-0.499984740745262"/>
      </right>
      <top style="medium">
        <color theme="1"/>
      </top>
      <bottom style="thin">
        <color theme="0" tint="-0.499984740745262"/>
      </bottom>
      <diagonal/>
    </border>
    <border>
      <left style="thin">
        <color theme="0" tint="-0.499984740745262"/>
      </left>
      <right style="thin">
        <color theme="0" tint="-0.499984740745262"/>
      </right>
      <top style="medium">
        <color theme="1"/>
      </top>
      <bottom style="thin">
        <color theme="0" tint="-0.499984740745262"/>
      </bottom>
      <diagonal/>
    </border>
    <border>
      <left style="medium">
        <color theme="1"/>
      </left>
      <right style="thin">
        <color theme="0" tint="-0.499984740745262"/>
      </right>
      <top style="thin">
        <color theme="0" tint="-0.499984740745262"/>
      </top>
      <bottom style="thin">
        <color theme="0" tint="-0.499984740745262"/>
      </bottom>
      <diagonal/>
    </border>
    <border>
      <left style="medium">
        <color theme="1"/>
      </left>
      <right style="thin">
        <color theme="0" tint="-0.499984740745262"/>
      </right>
      <top style="thin">
        <color theme="0" tint="-0.499984740745262"/>
      </top>
      <bottom style="medium">
        <color theme="1"/>
      </bottom>
      <diagonal/>
    </border>
    <border>
      <left style="thin">
        <color theme="0" tint="-0.499984740745262"/>
      </left>
      <right style="thin">
        <color theme="0" tint="-0.499984740745262"/>
      </right>
      <top style="thin">
        <color theme="0" tint="-0.499984740745262"/>
      </top>
      <bottom style="medium">
        <color theme="1"/>
      </bottom>
      <diagonal/>
    </border>
    <border>
      <left style="medium">
        <color theme="1"/>
      </left>
      <right style="thin">
        <color theme="0" tint="-0.499984740745262"/>
      </right>
      <top style="medium">
        <color theme="1"/>
      </top>
      <bottom/>
      <diagonal/>
    </border>
    <border>
      <left style="thin">
        <color theme="0" tint="-0.499984740745262"/>
      </left>
      <right style="thin">
        <color theme="0" tint="-0.499984740745262"/>
      </right>
      <top style="medium">
        <color theme="1"/>
      </top>
      <bottom/>
      <diagonal/>
    </border>
    <border>
      <left style="medium">
        <color theme="1"/>
      </left>
      <right style="medium">
        <color theme="1"/>
      </right>
      <top style="medium">
        <color theme="1"/>
      </top>
      <bottom/>
      <diagonal/>
    </border>
    <border>
      <left style="medium">
        <color theme="1"/>
      </left>
      <right/>
      <top style="medium">
        <color theme="1"/>
      </top>
      <bottom style="thin">
        <color theme="0" tint="-0.499984740745262"/>
      </bottom>
      <diagonal/>
    </border>
    <border>
      <left style="medium">
        <color theme="1"/>
      </left>
      <right/>
      <top style="thin">
        <color theme="0" tint="-0.499984740745262"/>
      </top>
      <bottom style="thin">
        <color theme="0" tint="-0.499984740745262"/>
      </bottom>
      <diagonal/>
    </border>
    <border>
      <left style="medium">
        <color theme="1"/>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1"/>
      </left>
      <right/>
      <top style="thin">
        <color theme="0" tint="-0.499984740745262"/>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1"/>
      </left>
      <right style="thin">
        <color theme="0" tint="-0.499984740745262"/>
      </right>
      <top style="thin">
        <color theme="0" tint="-0.49998474074526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rgb="FFAAAAAA"/>
      </left>
      <right style="thin">
        <color rgb="FFAAAAAA"/>
      </right>
      <top style="thin">
        <color rgb="FFAAAAAA"/>
      </top>
      <bottom style="thin">
        <color rgb="FFAAAAAA"/>
      </bottom>
      <diagonal/>
    </border>
    <border>
      <left style="medium">
        <color theme="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thin">
        <color rgb="FF7F7F7F"/>
      </right>
      <top style="thin">
        <color rgb="FF7F7F7F"/>
      </top>
      <bottom style="thin">
        <color rgb="FF7F7F7F"/>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medium">
        <color theme="1"/>
      </top>
      <bottom style="thin">
        <color theme="0" tint="-0.499984740745262"/>
      </bottom>
      <diagonal/>
    </border>
    <border>
      <left/>
      <right style="thin">
        <color theme="0" tint="-0.499984740745262"/>
      </right>
      <top style="thin">
        <color theme="0" tint="-0.499984740745262"/>
      </top>
      <bottom/>
      <diagonal/>
    </border>
    <border>
      <left/>
      <right style="thin">
        <color rgb="FF7F7F7F"/>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medium">
        <color theme="1"/>
      </right>
      <top style="thin">
        <color theme="0" tint="-0.499984740745262"/>
      </top>
      <bottom style="thin">
        <color theme="0" tint="-0.499984740745262"/>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diagonal/>
    </border>
    <border>
      <left style="medium">
        <color theme="1"/>
      </left>
      <right/>
      <top style="thin">
        <color theme="0" tint="-0.499984740745262"/>
      </top>
      <bottom style="medium">
        <color theme="1"/>
      </bottom>
      <diagonal/>
    </border>
    <border>
      <left/>
      <right style="medium">
        <color theme="1"/>
      </right>
      <top style="thin">
        <color theme="0" tint="-0.499984740745262"/>
      </top>
      <bottom style="thin">
        <color rgb="FF7F7F7F"/>
      </bottom>
      <diagonal/>
    </border>
    <border>
      <left/>
      <right style="medium">
        <color theme="1"/>
      </right>
      <top style="thin">
        <color rgb="FF7F7F7F"/>
      </top>
      <bottom style="thin">
        <color rgb="FF7F7F7F"/>
      </bottom>
      <diagonal/>
    </border>
    <border>
      <left/>
      <right style="medium">
        <color theme="1"/>
      </right>
      <top style="thin">
        <color rgb="FF7F7F7F"/>
      </top>
      <bottom style="medium">
        <color theme="1"/>
      </bottom>
      <diagonal/>
    </border>
    <border>
      <left style="thin">
        <color theme="0" tint="-0.499984740745262"/>
      </left>
      <right style="medium">
        <color auto="1"/>
      </right>
      <top style="medium">
        <color auto="1"/>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medium">
        <color auto="1"/>
      </bottom>
      <diagonal/>
    </border>
    <border>
      <left style="thin">
        <color theme="0" tint="-0.499984740745262"/>
      </left>
      <right style="medium">
        <color auto="1"/>
      </right>
      <top style="thin">
        <color theme="0" tint="-0.499984740745262"/>
      </top>
      <bottom/>
      <diagonal/>
    </border>
    <border>
      <left style="thin">
        <color theme="0" tint="-0.499984740745262"/>
      </left>
      <right style="medium">
        <color auto="1"/>
      </right>
      <top/>
      <bottom style="thin">
        <color theme="0" tint="-0.499984740745262"/>
      </bottom>
      <diagonal/>
    </border>
    <border>
      <left style="thin">
        <color rgb="FF7F7F7F"/>
      </left>
      <right/>
      <top style="thin">
        <color rgb="FF7F7F7F"/>
      </top>
      <bottom style="thin">
        <color rgb="FF7F7F7F"/>
      </bottom>
      <diagonal/>
    </border>
    <border>
      <left style="thin">
        <color theme="0" tint="-0.499984740745262"/>
      </left>
      <right style="medium">
        <color theme="1"/>
      </right>
      <top style="medium">
        <color theme="1"/>
      </top>
      <bottom style="medium">
        <color theme="1" tint="4.9989318521683403E-2"/>
      </bottom>
      <diagonal/>
    </border>
    <border>
      <left/>
      <right style="thin">
        <color rgb="FF7F7F7F"/>
      </right>
      <top/>
      <bottom style="thin">
        <color rgb="FF7F7F7F"/>
      </bottom>
      <diagonal/>
    </border>
    <border>
      <left style="thin">
        <color theme="0" tint="-0.499984740745262"/>
      </left>
      <right style="thin">
        <color theme="0" tint="-0.499984740745262"/>
      </right>
      <top style="medium">
        <color theme="1"/>
      </top>
      <bottom style="medium">
        <color theme="1" tint="4.9989318521683403E-2"/>
      </bottom>
      <diagonal/>
    </border>
    <border>
      <left style="thin">
        <color theme="0" tint="-0.499984740745262"/>
      </left>
      <right style="medium">
        <color auto="1"/>
      </right>
      <top style="medium">
        <color theme="1"/>
      </top>
      <bottom style="thin">
        <color theme="0" tint="-0.499984740745262"/>
      </bottom>
      <diagonal/>
    </border>
    <border>
      <left style="medium">
        <color theme="1"/>
      </left>
      <right style="thin">
        <color theme="0" tint="-0.499984740745262"/>
      </right>
      <top/>
      <bottom/>
      <diagonal/>
    </border>
    <border>
      <left style="medium">
        <color theme="1"/>
      </left>
      <right style="thin">
        <color theme="0" tint="-0.499984740745262"/>
      </right>
      <top/>
      <bottom style="medium">
        <color theme="1"/>
      </bottom>
      <diagonal/>
    </border>
    <border>
      <left style="thin">
        <color theme="0" tint="-0.499984740745262"/>
      </left>
      <right style="thin">
        <color theme="0" tint="-0.499984740745262"/>
      </right>
      <top/>
      <bottom style="medium">
        <color theme="1"/>
      </bottom>
      <diagonal/>
    </border>
    <border>
      <left/>
      <right style="thin">
        <color theme="0" tint="-0.499984740745262"/>
      </right>
      <top style="thin">
        <color theme="0" tint="-0.499984740745262"/>
      </top>
      <bottom style="medium">
        <color theme="1"/>
      </bottom>
      <diagonal/>
    </border>
    <border>
      <left style="medium">
        <color auto="1"/>
      </left>
      <right style="thin">
        <color theme="0" tint="-0.499984740745262"/>
      </right>
      <top style="thin">
        <color theme="0" tint="-0.499984740745262"/>
      </top>
      <bottom style="medium">
        <color theme="1"/>
      </bottom>
      <diagonal/>
    </border>
    <border>
      <left style="thin">
        <color theme="0" tint="-0.499984740745262"/>
      </left>
      <right style="medium">
        <color auto="1"/>
      </right>
      <top style="thin">
        <color theme="0" tint="-0.499984740745262"/>
      </top>
      <bottom style="medium">
        <color theme="1"/>
      </bottom>
      <diagonal/>
    </border>
    <border>
      <left/>
      <right style="medium">
        <color theme="1"/>
      </right>
      <top style="medium">
        <color auto="1"/>
      </top>
      <bottom/>
      <diagonal/>
    </border>
    <border>
      <left/>
      <right style="medium">
        <color theme="1"/>
      </right>
      <top/>
      <bottom style="thin">
        <color theme="0" tint="-0.34998626667073579"/>
      </bottom>
      <diagonal/>
    </border>
    <border>
      <left/>
      <right style="medium">
        <color theme="1"/>
      </right>
      <top style="thin">
        <color theme="0" tint="-0.34998626667073579"/>
      </top>
      <bottom style="thin">
        <color theme="0" tint="-0.34998626667073579"/>
      </bottom>
      <diagonal/>
    </border>
    <border>
      <left/>
      <right style="medium">
        <color theme="1"/>
      </right>
      <top style="thin">
        <color theme="0" tint="-0.34998626667073579"/>
      </top>
      <bottom/>
      <diagonal/>
    </border>
    <border>
      <left/>
      <right style="medium">
        <color theme="1"/>
      </right>
      <top style="thin">
        <color rgb="FF7F7F7F"/>
      </top>
      <bottom style="thin">
        <color theme="0" tint="-0.499984740745262"/>
      </bottom>
      <diagonal/>
    </border>
    <border>
      <left/>
      <right style="medium">
        <color theme="1"/>
      </right>
      <top style="thin">
        <color theme="0" tint="-0.499984740745262"/>
      </top>
      <bottom style="thin">
        <color theme="0" tint="-0.499984740745262"/>
      </bottom>
      <diagonal/>
    </border>
    <border>
      <left/>
      <right style="medium">
        <color theme="1"/>
      </right>
      <top style="thin">
        <color theme="0" tint="-0.499984740745262"/>
      </top>
      <bottom style="medium">
        <color theme="1"/>
      </bottom>
      <diagonal/>
    </border>
    <border>
      <left/>
      <right style="medium">
        <color theme="1"/>
      </right>
      <top style="thin">
        <color theme="0" tint="-0.34998626667073579"/>
      </top>
      <bottom style="medium">
        <color theme="1"/>
      </bottom>
      <diagonal/>
    </border>
    <border>
      <left style="medium">
        <color auto="1"/>
      </left>
      <right style="thin">
        <color theme="0" tint="-0.499984740745262"/>
      </right>
      <top style="medium">
        <color theme="1"/>
      </top>
      <bottom style="medium">
        <color theme="1"/>
      </bottom>
      <diagonal/>
    </border>
  </borders>
  <cellStyleXfs count="76">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 fillId="0" borderId="0"/>
    <xf numFmtId="0" fontId="4" fillId="0" borderId="0"/>
    <xf numFmtId="0" fontId="7"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0" fontId="19" fillId="0" borderId="0" applyNumberFormat="0" applyFill="0" applyBorder="0" applyAlignment="0" applyProtection="0"/>
    <xf numFmtId="43" fontId="4" fillId="0" borderId="0" applyFont="0" applyFill="0" applyBorder="0" applyAlignment="0" applyProtection="0"/>
    <xf numFmtId="0" fontId="33" fillId="0" borderId="0" applyNumberFormat="0" applyFill="0" applyBorder="0" applyAlignment="0" applyProtection="0"/>
    <xf numFmtId="0" fontId="34" fillId="0" borderId="32" applyNumberFormat="0" applyFill="0" applyAlignment="0" applyProtection="0"/>
    <xf numFmtId="0" fontId="35" fillId="0" borderId="33" applyNumberFormat="0" applyFill="0" applyAlignment="0" applyProtection="0"/>
    <xf numFmtId="0" fontId="36" fillId="0" borderId="34" applyNumberFormat="0" applyFill="0" applyAlignment="0" applyProtection="0"/>
    <xf numFmtId="0" fontId="36" fillId="0" borderId="0" applyNumberFormat="0" applyFill="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0" fillId="12" borderId="35" applyNumberFormat="0" applyAlignment="0" applyProtection="0"/>
    <xf numFmtId="0" fontId="41" fillId="13" borderId="36" applyNumberFormat="0" applyAlignment="0" applyProtection="0"/>
    <xf numFmtId="0" fontId="42" fillId="13" borderId="35" applyNumberFormat="0" applyAlignment="0" applyProtection="0"/>
    <xf numFmtId="0" fontId="43" fillId="0" borderId="37" applyNumberFormat="0" applyFill="0" applyAlignment="0" applyProtection="0"/>
    <xf numFmtId="0" fontId="44" fillId="14" borderId="3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40" applyNumberFormat="0" applyFill="0" applyAlignment="0" applyProtection="0"/>
    <xf numFmtId="0" fontId="4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8"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4" fillId="0" borderId="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5" borderId="39" applyNumberFormat="0" applyFont="0" applyAlignment="0" applyProtection="0"/>
  </cellStyleXfs>
  <cellXfs count="420">
    <xf numFmtId="0" fontId="0" fillId="0" borderId="0" xfId="0"/>
    <xf numFmtId="0" fontId="4" fillId="4" borderId="0" xfId="0" applyFont="1" applyFill="1" applyBorder="1"/>
    <xf numFmtId="0" fontId="0" fillId="6" borderId="0" xfId="0" applyFill="1"/>
    <xf numFmtId="0" fontId="5" fillId="5" borderId="1" xfId="0" applyFont="1" applyFill="1" applyBorder="1" applyAlignment="1">
      <alignment vertical="center"/>
    </xf>
    <xf numFmtId="0" fontId="4" fillId="5" borderId="0" xfId="0" applyFont="1" applyFill="1" applyBorder="1"/>
    <xf numFmtId="0" fontId="4" fillId="5" borderId="6" xfId="0" applyFont="1" applyFill="1" applyBorder="1"/>
    <xf numFmtId="0" fontId="15" fillId="5" borderId="1" xfId="0" applyFont="1" applyFill="1" applyBorder="1" applyAlignment="1">
      <alignment horizontal="center" vertical="top" wrapText="1"/>
    </xf>
    <xf numFmtId="0" fontId="5" fillId="5" borderId="1" xfId="0" applyFont="1" applyFill="1" applyBorder="1" applyAlignment="1">
      <alignment horizontal="left" vertical="center"/>
    </xf>
    <xf numFmtId="0" fontId="0" fillId="5" borderId="0" xfId="0" applyFill="1" applyBorder="1" applyAlignment="1">
      <alignment wrapText="1"/>
    </xf>
    <xf numFmtId="0" fontId="5" fillId="5" borderId="0" xfId="0" applyFont="1" applyFill="1" applyBorder="1" applyAlignment="1">
      <alignment horizontal="right" vertical="top"/>
    </xf>
    <xf numFmtId="0" fontId="0" fillId="5" borderId="0" xfId="0" applyFill="1" applyBorder="1"/>
    <xf numFmtId="165" fontId="0" fillId="5" borderId="6" xfId="0" applyNumberFormat="1" applyFill="1" applyBorder="1" applyAlignment="1"/>
    <xf numFmtId="0" fontId="0" fillId="5" borderId="1" xfId="0" applyFill="1" applyBorder="1"/>
    <xf numFmtId="0" fontId="0" fillId="5" borderId="0" xfId="0" applyFill="1" applyBorder="1" applyAlignment="1"/>
    <xf numFmtId="0" fontId="4" fillId="5" borderId="0" xfId="0" applyFont="1" applyFill="1" applyBorder="1" applyAlignment="1">
      <alignment horizontal="right"/>
    </xf>
    <xf numFmtId="0" fontId="4" fillId="5" borderId="0" xfId="0" applyFont="1" applyFill="1" applyBorder="1" applyAlignment="1"/>
    <xf numFmtId="0" fontId="5" fillId="5" borderId="6" xfId="0" applyFont="1" applyFill="1" applyBorder="1" applyAlignment="1">
      <alignment vertical="top"/>
    </xf>
    <xf numFmtId="0" fontId="5" fillId="5" borderId="6" xfId="0" applyFont="1" applyFill="1" applyBorder="1" applyAlignment="1">
      <alignment wrapText="1"/>
    </xf>
    <xf numFmtId="0" fontId="0" fillId="5" borderId="3" xfId="0" applyFill="1" applyBorder="1" applyAlignment="1">
      <alignment wrapText="1"/>
    </xf>
    <xf numFmtId="0" fontId="5" fillId="5" borderId="1" xfId="0" applyFont="1" applyFill="1" applyBorder="1" applyAlignment="1">
      <alignment vertical="top"/>
    </xf>
    <xf numFmtId="0" fontId="4" fillId="5" borderId="7" xfId="0" applyFont="1" applyFill="1" applyBorder="1" applyAlignment="1">
      <alignment vertical="top" wrapText="1"/>
    </xf>
    <xf numFmtId="0" fontId="4" fillId="5" borderId="3" xfId="0" applyFont="1" applyFill="1" applyBorder="1" applyAlignment="1">
      <alignment vertical="top" wrapText="1"/>
    </xf>
    <xf numFmtId="0" fontId="4" fillId="5" borderId="8" xfId="0" applyFont="1" applyFill="1" applyBorder="1" applyAlignment="1">
      <alignment vertical="top" wrapText="1"/>
    </xf>
    <xf numFmtId="0" fontId="4" fillId="5" borderId="4" xfId="0" applyFont="1" applyFill="1" applyBorder="1" applyAlignment="1">
      <alignment vertical="top" wrapText="1"/>
    </xf>
    <xf numFmtId="0" fontId="4" fillId="5" borderId="2" xfId="0" applyFont="1" applyFill="1" applyBorder="1" applyAlignment="1">
      <alignment vertical="top" wrapText="1"/>
    </xf>
    <xf numFmtId="0" fontId="4" fillId="5" borderId="5" xfId="0" applyFont="1" applyFill="1" applyBorder="1" applyAlignment="1">
      <alignment vertical="top" wrapText="1"/>
    </xf>
    <xf numFmtId="0" fontId="5" fillId="5" borderId="1" xfId="0" applyFont="1" applyFill="1" applyBorder="1" applyAlignment="1">
      <alignment horizontal="left" vertical="top" indent="1"/>
    </xf>
    <xf numFmtId="0" fontId="4" fillId="5" borderId="0" xfId="0" applyFont="1" applyFill="1" applyBorder="1" applyAlignment="1">
      <alignment vertical="top" wrapText="1"/>
    </xf>
    <xf numFmtId="0" fontId="4" fillId="5" borderId="6" xfId="0" applyFont="1" applyFill="1" applyBorder="1" applyAlignment="1">
      <alignment vertical="top" wrapText="1"/>
    </xf>
    <xf numFmtId="0" fontId="4" fillId="5" borderId="1" xfId="0" applyFont="1" applyFill="1" applyBorder="1" applyAlignment="1">
      <alignment vertical="top" wrapText="1"/>
    </xf>
    <xf numFmtId="0" fontId="5" fillId="7" borderId="4"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5" fillId="5" borderId="4" xfId="0" applyFont="1" applyFill="1" applyBorder="1" applyAlignment="1">
      <alignment vertical="top"/>
    </xf>
    <xf numFmtId="0" fontId="5" fillId="5" borderId="2" xfId="0" applyFont="1" applyFill="1" applyBorder="1" applyAlignment="1">
      <alignment vertical="top" wrapText="1"/>
    </xf>
    <xf numFmtId="0" fontId="0" fillId="5" borderId="2" xfId="0" applyFill="1" applyBorder="1" applyAlignment="1">
      <alignment wrapText="1"/>
    </xf>
    <xf numFmtId="0" fontId="4" fillId="5" borderId="2" xfId="0" applyFont="1" applyFill="1" applyBorder="1"/>
    <xf numFmtId="0" fontId="4" fillId="5" borderId="5" xfId="0" applyFont="1" applyFill="1" applyBorder="1"/>
    <xf numFmtId="0" fontId="5" fillId="5" borderId="0" xfId="0" applyFont="1" applyFill="1" applyBorder="1" applyAlignment="1">
      <alignment vertical="top" wrapText="1"/>
    </xf>
    <xf numFmtId="0" fontId="5" fillId="5" borderId="1" xfId="0" applyFont="1" applyFill="1" applyBorder="1" applyAlignment="1">
      <alignment horizontal="right" vertical="center"/>
    </xf>
    <xf numFmtId="0" fontId="5" fillId="5" borderId="0" xfId="0" applyFont="1" applyFill="1" applyBorder="1" applyAlignment="1">
      <alignment horizontal="right"/>
    </xf>
    <xf numFmtId="0" fontId="0" fillId="5" borderId="1" xfId="0" applyFill="1" applyBorder="1" applyAlignment="1">
      <alignment vertical="top" wrapText="1"/>
    </xf>
    <xf numFmtId="0" fontId="0" fillId="5" borderId="0" xfId="0" applyFill="1" applyBorder="1" applyAlignment="1">
      <alignment vertical="top" wrapText="1"/>
    </xf>
    <xf numFmtId="0" fontId="5" fillId="5" borderId="2" xfId="0" applyFont="1" applyFill="1" applyBorder="1" applyAlignment="1">
      <alignment vertical="top"/>
    </xf>
    <xf numFmtId="0" fontId="5" fillId="5" borderId="5" xfId="0" applyFont="1" applyFill="1" applyBorder="1" applyAlignment="1">
      <alignment vertical="top" wrapText="1"/>
    </xf>
    <xf numFmtId="0" fontId="5" fillId="5" borderId="1" xfId="0" applyFont="1" applyFill="1" applyBorder="1" applyAlignment="1">
      <alignment horizontal="left" vertical="center" indent="4"/>
    </xf>
    <xf numFmtId="0" fontId="0" fillId="6" borderId="0" xfId="0" applyFill="1" applyBorder="1" applyAlignment="1">
      <alignment wrapText="1"/>
    </xf>
    <xf numFmtId="14" fontId="4" fillId="6" borderId="0" xfId="0" applyNumberFormat="1" applyFont="1" applyFill="1" applyBorder="1" applyAlignment="1">
      <alignment horizontal="left"/>
    </xf>
    <xf numFmtId="0" fontId="0" fillId="5" borderId="7" xfId="0" applyFill="1" applyBorder="1" applyAlignment="1">
      <alignment vertical="top" wrapText="1"/>
    </xf>
    <xf numFmtId="0" fontId="0" fillId="5" borderId="3" xfId="0" applyFill="1" applyBorder="1" applyAlignment="1">
      <alignment vertical="top" wrapText="1"/>
    </xf>
    <xf numFmtId="0" fontId="4" fillId="5" borderId="3" xfId="0" applyFont="1" applyFill="1" applyBorder="1"/>
    <xf numFmtId="0" fontId="4" fillId="5" borderId="8" xfId="0" applyFont="1" applyFill="1" applyBorder="1"/>
    <xf numFmtId="0" fontId="15" fillId="5" borderId="0" xfId="0" applyFont="1" applyFill="1" applyBorder="1" applyAlignment="1">
      <alignment horizontal="center" vertical="top" wrapText="1"/>
    </xf>
    <xf numFmtId="0" fontId="15" fillId="5" borderId="6" xfId="0" applyFont="1" applyFill="1" applyBorder="1" applyAlignment="1">
      <alignment horizontal="center" vertical="top" wrapText="1"/>
    </xf>
    <xf numFmtId="0" fontId="4" fillId="3" borderId="0" xfId="0" applyFont="1" applyFill="1" applyBorder="1"/>
    <xf numFmtId="0" fontId="5" fillId="5" borderId="0" xfId="0" applyFont="1" applyFill="1" applyBorder="1" applyAlignment="1">
      <alignment horizontal="right" wrapText="1"/>
    </xf>
    <xf numFmtId="0" fontId="4" fillId="0" borderId="0" xfId="0" applyFont="1" applyFill="1" applyBorder="1" applyAlignment="1"/>
    <xf numFmtId="0" fontId="0" fillId="0" borderId="0" xfId="0" applyBorder="1" applyAlignment="1" applyProtection="1">
      <alignment wrapText="1"/>
      <protection locked="0"/>
    </xf>
    <xf numFmtId="0" fontId="0" fillId="5" borderId="0" xfId="0" applyFont="1" applyFill="1" applyBorder="1" applyAlignment="1">
      <alignment vertical="top"/>
    </xf>
    <xf numFmtId="0" fontId="0" fillId="3" borderId="0" xfId="0" applyFont="1" applyFill="1" applyBorder="1"/>
    <xf numFmtId="0" fontId="4" fillId="5" borderId="3" xfId="0" applyFont="1" applyFill="1" applyBorder="1" applyAlignment="1">
      <alignment horizontal="left" vertical="top" indent="1"/>
    </xf>
    <xf numFmtId="0" fontId="21" fillId="0" borderId="0" xfId="0" applyFont="1" applyAlignment="1">
      <alignment horizontal="left" vertical="center" indent="2"/>
    </xf>
    <xf numFmtId="0" fontId="21" fillId="0" borderId="0" xfId="0" applyFont="1" applyAlignment="1">
      <alignment horizontal="left" vertical="center" indent="8"/>
    </xf>
    <xf numFmtId="0" fontId="21" fillId="0" borderId="0" xfId="0" applyFont="1" applyAlignment="1">
      <alignment vertical="center" wrapText="1"/>
    </xf>
    <xf numFmtId="0" fontId="0" fillId="0" borderId="0" xfId="0" applyBorder="1" applyAlignment="1">
      <alignment vertical="top"/>
    </xf>
    <xf numFmtId="0" fontId="0" fillId="0" borderId="0" xfId="0" applyAlignment="1">
      <alignment horizontal="left" vertical="top"/>
    </xf>
    <xf numFmtId="0" fontId="30" fillId="0" borderId="0" xfId="0" applyFont="1"/>
    <xf numFmtId="0" fontId="31" fillId="0" borderId="0" xfId="0" applyFont="1" applyAlignment="1">
      <alignment horizontal="left" vertical="top"/>
    </xf>
    <xf numFmtId="0" fontId="32" fillId="0" borderId="0" xfId="0" applyFont="1" applyAlignment="1">
      <alignment vertical="center"/>
    </xf>
    <xf numFmtId="0" fontId="30" fillId="0" borderId="0" xfId="0" applyFont="1" applyAlignment="1">
      <alignment horizontal="left" vertical="top"/>
    </xf>
    <xf numFmtId="0" fontId="32" fillId="0" borderId="0" xfId="0" applyFont="1" applyAlignment="1">
      <alignment horizontal="left" vertical="top"/>
    </xf>
    <xf numFmtId="0" fontId="32" fillId="0" borderId="0" xfId="0" applyFont="1"/>
    <xf numFmtId="0" fontId="32" fillId="0" borderId="3" xfId="0" applyFont="1" applyBorder="1"/>
    <xf numFmtId="0" fontId="32" fillId="0" borderId="10" xfId="0" applyFont="1" applyBorder="1"/>
    <xf numFmtId="0" fontId="32" fillId="0" borderId="0" xfId="0" applyFont="1" applyBorder="1"/>
    <xf numFmtId="0" fontId="25" fillId="0" borderId="0" xfId="0" applyFont="1" applyAlignment="1">
      <alignment horizontal="left" vertical="top"/>
    </xf>
    <xf numFmtId="0" fontId="0" fillId="0" borderId="0" xfId="0" applyAlignment="1">
      <alignment horizontal="left" vertical="top" wrapText="1"/>
    </xf>
    <xf numFmtId="0" fontId="26" fillId="0" borderId="0" xfId="0" applyFont="1" applyAlignment="1">
      <alignment horizontal="left" vertical="top" wrapText="1"/>
    </xf>
    <xf numFmtId="0" fontId="21" fillId="0" borderId="0" xfId="0" applyFont="1" applyAlignment="1" applyProtection="1">
      <alignment vertical="center"/>
      <protection locked="0"/>
    </xf>
    <xf numFmtId="0" fontId="50" fillId="0" borderId="0" xfId="0" applyFont="1" applyProtection="1">
      <protection locked="0"/>
    </xf>
    <xf numFmtId="0" fontId="0" fillId="0" borderId="0" xfId="0" applyProtection="1">
      <protection locked="0"/>
    </xf>
    <xf numFmtId="0" fontId="8" fillId="0" borderId="1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wrapTex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vertical="center" wrapText="1"/>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vertical="center" wrapText="1"/>
      <protection locked="0"/>
    </xf>
    <xf numFmtId="0" fontId="0" fillId="0" borderId="17" xfId="0" applyFont="1" applyFill="1" applyBorder="1" applyAlignment="1" applyProtection="1">
      <alignment horizontal="center" vertical="center"/>
      <protection locked="0"/>
    </xf>
    <xf numFmtId="0" fontId="0" fillId="0" borderId="41"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protection locked="0"/>
    </xf>
    <xf numFmtId="0" fontId="49" fillId="0" borderId="0" xfId="0" applyFont="1" applyBorder="1" applyAlignment="1" applyProtection="1">
      <alignment horizontal="left" vertical="center" wrapText="1" indent="1"/>
      <protection locked="0"/>
    </xf>
    <xf numFmtId="0" fontId="49" fillId="0" borderId="0" xfId="0" applyFont="1" applyBorder="1" applyAlignment="1" applyProtection="1">
      <alignment horizontal="center" vertical="center"/>
      <protection locked="0"/>
    </xf>
    <xf numFmtId="164" fontId="49" fillId="0" borderId="0" xfId="0" quotePrefix="1" applyNumberFormat="1" applyFont="1" applyFill="1" applyBorder="1" applyAlignment="1" applyProtection="1">
      <alignment horizontal="center" vertical="top"/>
      <protection locked="0"/>
    </xf>
    <xf numFmtId="164" fontId="49" fillId="0" borderId="0" xfId="0" applyNumberFormat="1" applyFont="1" applyFill="1" applyBorder="1" applyAlignment="1" applyProtection="1">
      <alignment horizontal="center" vertical="center"/>
      <protection locked="0"/>
    </xf>
    <xf numFmtId="164" fontId="49" fillId="0" borderId="0" xfId="0" applyNumberFormat="1" applyFont="1" applyBorder="1" applyAlignment="1" applyProtection="1">
      <alignment vertical="center"/>
      <protection locked="0"/>
    </xf>
    <xf numFmtId="0" fontId="9" fillId="0" borderId="0" xfId="0" applyFont="1" applyAlignment="1" applyProtection="1">
      <alignment vertical="center"/>
      <protection locked="0"/>
    </xf>
    <xf numFmtId="0" fontId="5" fillId="0" borderId="0" xfId="0" applyFont="1" applyProtection="1">
      <protection locked="0"/>
    </xf>
    <xf numFmtId="0" fontId="0" fillId="4" borderId="0" xfId="0" applyFont="1" applyFill="1" applyBorder="1"/>
    <xf numFmtId="0" fontId="4" fillId="40" borderId="0" xfId="0" applyFont="1" applyFill="1" applyBorder="1"/>
    <xf numFmtId="0" fontId="0" fillId="40" borderId="0" xfId="0" applyFont="1" applyFill="1" applyBorder="1"/>
    <xf numFmtId="0" fontId="4" fillId="40" borderId="0" xfId="0" applyFont="1" applyFill="1" applyBorder="1" applyAlignment="1">
      <alignment vertical="top" wrapText="1"/>
    </xf>
    <xf numFmtId="0" fontId="0" fillId="40" borderId="0" xfId="0" applyFont="1" applyFill="1" applyBorder="1" applyAlignment="1">
      <alignment vertical="top"/>
    </xf>
    <xf numFmtId="0" fontId="4" fillId="40" borderId="0" xfId="0" applyFont="1" applyFill="1" applyBorder="1" applyAlignment="1">
      <alignment horizontal="left" indent="3"/>
    </xf>
    <xf numFmtId="0" fontId="20" fillId="0" borderId="0" xfId="0" applyFont="1" applyFill="1" applyBorder="1" applyAlignment="1">
      <alignment vertical="center" wrapText="1"/>
    </xf>
    <xf numFmtId="0" fontId="0" fillId="0" borderId="0" xfId="0" applyAlignment="1">
      <alignment horizontal="center"/>
    </xf>
    <xf numFmtId="0" fontId="20" fillId="0" borderId="29" xfId="0" applyFont="1" applyBorder="1" applyAlignment="1">
      <alignment vertical="center" shrinkToFit="1"/>
    </xf>
    <xf numFmtId="0" fontId="0" fillId="0" borderId="0" xfId="0" applyFill="1" applyProtection="1">
      <protection locked="0"/>
    </xf>
    <xf numFmtId="0" fontId="0" fillId="3" borderId="1" xfId="0" applyFont="1" applyFill="1" applyBorder="1" applyAlignment="1">
      <alignment horizontal="left" indent="3"/>
    </xf>
    <xf numFmtId="0" fontId="0" fillId="0" borderId="0" xfId="0" applyAlignment="1">
      <alignment vertical="center"/>
    </xf>
    <xf numFmtId="0" fontId="21" fillId="0" borderId="27" xfId="0" applyFont="1" applyBorder="1" applyAlignment="1">
      <alignment vertical="center"/>
    </xf>
    <xf numFmtId="0" fontId="0" fillId="0" borderId="0" xfId="0" applyFont="1" applyProtection="1">
      <protection locked="0"/>
    </xf>
    <xf numFmtId="0" fontId="0" fillId="0" borderId="0" xfId="0" applyFont="1"/>
    <xf numFmtId="0" fontId="5" fillId="0" borderId="0" xfId="0" applyFont="1" applyAlignment="1">
      <alignment horizontal="left" vertical="top"/>
    </xf>
    <xf numFmtId="0" fontId="55" fillId="0" borderId="0" xfId="0" applyFont="1"/>
    <xf numFmtId="0" fontId="0" fillId="0" borderId="0" xfId="0" applyFont="1" applyAlignment="1">
      <alignment vertical="center"/>
    </xf>
    <xf numFmtId="0" fontId="0" fillId="0" borderId="0" xfId="0" applyFont="1" applyAlignment="1">
      <alignment horizontal="left" vertical="top"/>
    </xf>
    <xf numFmtId="0" fontId="32" fillId="0" borderId="0" xfId="0" applyFont="1" applyAlignment="1">
      <alignment horizontal="left" vertical="center"/>
    </xf>
    <xf numFmtId="0" fontId="0" fillId="0" borderId="0" xfId="0" applyFont="1" applyAlignment="1">
      <alignment horizontal="left" vertical="center"/>
    </xf>
    <xf numFmtId="0" fontId="30" fillId="0" borderId="0" xfId="0" applyFont="1" applyAlignment="1">
      <alignment vertical="center"/>
    </xf>
    <xf numFmtId="0" fontId="32" fillId="0" borderId="0" xfId="0" applyFont="1" applyBorder="1" applyAlignment="1">
      <alignment horizontal="center" vertical="center"/>
    </xf>
    <xf numFmtId="0" fontId="63" fillId="0" borderId="0" xfId="0" applyFont="1" applyAlignment="1">
      <alignment horizontal="left" vertical="top" wrapText="1"/>
    </xf>
    <xf numFmtId="0" fontId="60" fillId="0" borderId="0" xfId="22" applyFont="1" applyAlignment="1">
      <alignment horizontal="left" vertical="top"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wrapText="1"/>
    </xf>
    <xf numFmtId="0" fontId="58" fillId="0" borderId="26" xfId="0" applyFont="1" applyBorder="1" applyAlignment="1">
      <alignment vertical="center" wrapText="1"/>
    </xf>
    <xf numFmtId="0" fontId="58" fillId="0" borderId="27" xfId="0" applyFont="1" applyBorder="1" applyAlignment="1">
      <alignment vertical="center" wrapText="1"/>
    </xf>
    <xf numFmtId="0" fontId="58" fillId="0" borderId="27" xfId="0" applyFont="1" applyBorder="1" applyAlignment="1">
      <alignment horizontal="center" vertical="center" wrapText="1"/>
    </xf>
    <xf numFmtId="0" fontId="65" fillId="0" borderId="0" xfId="0" applyFont="1" applyAlignment="1" applyProtection="1">
      <alignment horizontal="center" vertical="center"/>
      <protection locked="0"/>
    </xf>
    <xf numFmtId="0" fontId="56" fillId="0" borderId="0" xfId="0" applyFont="1" applyAlignment="1">
      <alignment horizontal="left" vertical="center"/>
    </xf>
    <xf numFmtId="14" fontId="32" fillId="0" borderId="0" xfId="0" applyNumberFormat="1" applyFont="1" applyBorder="1" applyAlignment="1">
      <alignment horizontal="center"/>
    </xf>
    <xf numFmtId="0" fontId="32" fillId="0" borderId="0" xfId="0" applyFont="1" applyBorder="1" applyAlignment="1">
      <alignment horizontal="center"/>
    </xf>
    <xf numFmtId="0" fontId="32" fillId="0" borderId="0" xfId="0" applyFont="1" applyBorder="1" applyAlignment="1">
      <alignment vertical="top"/>
    </xf>
    <xf numFmtId="0" fontId="0" fillId="0" borderId="0" xfId="0" applyBorder="1"/>
    <xf numFmtId="0" fontId="15" fillId="0" borderId="10" xfId="0" applyFont="1" applyFill="1" applyBorder="1" applyAlignment="1">
      <alignment horizontal="left" vertical="top" wrapText="1"/>
    </xf>
    <xf numFmtId="0" fontId="66" fillId="0" borderId="0" xfId="0" applyFont="1" applyAlignment="1">
      <alignment horizontal="left" vertical="top"/>
    </xf>
    <xf numFmtId="0" fontId="67" fillId="0" borderId="0" xfId="0" applyFont="1" applyAlignment="1">
      <alignment vertical="center"/>
    </xf>
    <xf numFmtId="0" fontId="65" fillId="0" borderId="0" xfId="0" applyFont="1" applyAlignment="1">
      <alignment horizontal="left" vertical="top"/>
    </xf>
    <xf numFmtId="0" fontId="65" fillId="0" borderId="0" xfId="0" applyFont="1" applyAlignment="1">
      <alignment horizontal="left" vertical="center"/>
    </xf>
    <xf numFmtId="167" fontId="0" fillId="0" borderId="0" xfId="0" applyNumberFormat="1" applyAlignment="1">
      <alignment horizontal="center"/>
    </xf>
    <xf numFmtId="3" fontId="0" fillId="0" borderId="0" xfId="0" applyNumberFormat="1" applyAlignment="1">
      <alignment horizontal="center"/>
    </xf>
    <xf numFmtId="4" fontId="0" fillId="0" borderId="0" xfId="0" applyNumberFormat="1" applyAlignment="1">
      <alignment horizontal="center"/>
    </xf>
    <xf numFmtId="168" fontId="0" fillId="0" borderId="0" xfId="0" applyNumberFormat="1" applyAlignment="1">
      <alignment horizontal="center"/>
    </xf>
    <xf numFmtId="0" fontId="5" fillId="0" borderId="0" xfId="0" applyFont="1"/>
    <xf numFmtId="0" fontId="0" fillId="0" borderId="26" xfId="0" applyBorder="1"/>
    <xf numFmtId="0" fontId="0" fillId="0" borderId="46" xfId="0" applyBorder="1" applyAlignment="1">
      <alignment horizontal="center"/>
    </xf>
    <xf numFmtId="0" fontId="0" fillId="0" borderId="29" xfId="0" applyBorder="1" applyAlignment="1">
      <alignment horizontal="center"/>
    </xf>
    <xf numFmtId="0" fontId="0" fillId="0" borderId="48" xfId="0" applyBorder="1" applyAlignment="1">
      <alignment horizontal="left"/>
    </xf>
    <xf numFmtId="0" fontId="0" fillId="0" borderId="49" xfId="0" applyBorder="1" applyAlignment="1">
      <alignment horizontal="center"/>
    </xf>
    <xf numFmtId="0" fontId="0" fillId="0" borderId="30"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8" xfId="0" applyBorder="1"/>
    <xf numFmtId="0" fontId="0" fillId="0" borderId="0" xfId="0" applyFill="1" applyBorder="1" applyAlignment="1">
      <alignment horizontal="center"/>
    </xf>
    <xf numFmtId="0" fontId="0" fillId="0" borderId="28" xfId="0" applyBorder="1"/>
    <xf numFmtId="169" fontId="0" fillId="0" borderId="0" xfId="0" applyNumberFormat="1"/>
    <xf numFmtId="0" fontId="0" fillId="0" borderId="27" xfId="0" applyBorder="1" applyAlignment="1">
      <alignment horizontal="center"/>
    </xf>
    <xf numFmtId="0" fontId="0" fillId="0" borderId="50" xfId="0" applyBorder="1" applyAlignment="1">
      <alignment horizontal="center"/>
    </xf>
    <xf numFmtId="9" fontId="0" fillId="0" borderId="0" xfId="0" applyNumberFormat="1" applyBorder="1" applyAlignment="1">
      <alignment horizontal="center"/>
    </xf>
    <xf numFmtId="169" fontId="0" fillId="0" borderId="49" xfId="0" applyNumberFormat="1" applyFill="1" applyBorder="1" applyAlignment="1">
      <alignment horizontal="center"/>
    </xf>
    <xf numFmtId="169" fontId="0" fillId="0" borderId="0" xfId="0" applyNumberFormat="1" applyFill="1" applyBorder="1" applyAlignment="1">
      <alignment horizontal="center"/>
    </xf>
    <xf numFmtId="169" fontId="0" fillId="0" borderId="30" xfId="0" applyNumberFormat="1" applyFill="1" applyBorder="1" applyAlignment="1">
      <alignment horizontal="center"/>
    </xf>
    <xf numFmtId="169" fontId="0" fillId="0" borderId="49" xfId="0" applyNumberFormat="1" applyBorder="1" applyAlignment="1">
      <alignment horizontal="center"/>
    </xf>
    <xf numFmtId="169" fontId="0" fillId="0" borderId="0" xfId="0" applyNumberFormat="1" applyBorder="1" applyAlignment="1">
      <alignment horizontal="center"/>
    </xf>
    <xf numFmtId="169" fontId="0" fillId="0" borderId="30" xfId="0" applyNumberFormat="1" applyBorder="1" applyAlignment="1">
      <alignment horizontal="center"/>
    </xf>
    <xf numFmtId="0" fontId="0" fillId="0" borderId="47" xfId="0" applyFill="1" applyBorder="1" applyAlignment="1">
      <alignment horizontal="center"/>
    </xf>
    <xf numFmtId="9" fontId="0" fillId="0" borderId="47" xfId="0" applyNumberFormat="1" applyBorder="1" applyAlignment="1">
      <alignment horizontal="center"/>
    </xf>
    <xf numFmtId="169" fontId="0" fillId="0" borderId="46" xfId="0" applyNumberFormat="1" applyBorder="1" applyAlignment="1">
      <alignment horizontal="center"/>
    </xf>
    <xf numFmtId="169" fontId="0" fillId="0" borderId="47" xfId="0" applyNumberFormat="1" applyBorder="1" applyAlignment="1">
      <alignment horizontal="center"/>
    </xf>
    <xf numFmtId="169" fontId="0" fillId="0" borderId="29" xfId="0" applyNumberFormat="1" applyBorder="1" applyAlignment="1">
      <alignment horizontal="center"/>
    </xf>
    <xf numFmtId="2" fontId="0" fillId="0" borderId="0" xfId="0" applyNumberFormat="1"/>
    <xf numFmtId="0" fontId="0" fillId="0" borderId="0" xfId="0" applyAlignment="1">
      <alignment wrapText="1"/>
    </xf>
    <xf numFmtId="0" fontId="50" fillId="0" borderId="0" xfId="0" applyFont="1"/>
    <xf numFmtId="2" fontId="50" fillId="0" borderId="0" xfId="0" applyNumberFormat="1" applyFont="1"/>
    <xf numFmtId="0" fontId="0" fillId="0" borderId="0" xfId="0" applyNumberFormat="1" applyAlignment="1">
      <alignment wrapText="1"/>
    </xf>
    <xf numFmtId="0" fontId="73" fillId="41" borderId="52" xfId="0" applyFont="1" applyFill="1" applyBorder="1" applyAlignment="1">
      <alignment horizontal="center" vertical="top" wrapText="1"/>
    </xf>
    <xf numFmtId="0" fontId="0" fillId="0" borderId="0" xfId="0" applyAlignment="1">
      <alignment horizontal="center" wrapText="1"/>
    </xf>
    <xf numFmtId="2" fontId="0" fillId="0" borderId="0" xfId="0" applyNumberFormat="1" applyAlignment="1">
      <alignment horizontal="center"/>
    </xf>
    <xf numFmtId="0" fontId="0" fillId="0" borderId="51" xfId="0" applyBorder="1" applyAlignment="1">
      <alignment horizontal="center" wrapText="1"/>
    </xf>
    <xf numFmtId="0" fontId="0" fillId="0" borderId="27" xfId="0" applyBorder="1" applyAlignment="1">
      <alignment horizontal="center" wrapText="1"/>
    </xf>
    <xf numFmtId="10" fontId="0" fillId="0" borderId="0" xfId="0" applyNumberFormat="1" applyAlignment="1">
      <alignment horizontal="center"/>
    </xf>
    <xf numFmtId="164" fontId="0" fillId="0" borderId="30" xfId="0" applyNumberFormat="1" applyBorder="1" applyAlignment="1">
      <alignment horizontal="center"/>
    </xf>
    <xf numFmtId="0" fontId="55" fillId="0" borderId="0" xfId="0" applyFon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53" xfId="0" applyFont="1" applyFill="1" applyBorder="1" applyAlignment="1" applyProtection="1">
      <alignment vertical="center" wrapText="1"/>
      <protection locked="0"/>
    </xf>
    <xf numFmtId="0" fontId="0" fillId="0" borderId="54" xfId="0" applyFont="1" applyFill="1" applyBorder="1" applyAlignment="1" applyProtection="1">
      <alignment horizontal="center" vertical="center"/>
      <protection locked="0"/>
    </xf>
    <xf numFmtId="0" fontId="0" fillId="0" borderId="43" xfId="0" applyNumberFormat="1" applyBorder="1" applyAlignment="1">
      <alignment horizontal="center"/>
    </xf>
    <xf numFmtId="0" fontId="0" fillId="0" borderId="44" xfId="0" applyNumberFormat="1" applyBorder="1" applyAlignment="1">
      <alignment horizontal="center"/>
    </xf>
    <xf numFmtId="0" fontId="0" fillId="0" borderId="45" xfId="0" applyNumberFormat="1" applyBorder="1" applyAlignment="1">
      <alignment horizontal="center"/>
    </xf>
    <xf numFmtId="0" fontId="0" fillId="0" borderId="50" xfId="0" applyBorder="1"/>
    <xf numFmtId="2" fontId="0" fillId="0" borderId="51" xfId="0" applyNumberFormat="1" applyBorder="1" applyAlignment="1">
      <alignment horizontal="center"/>
    </xf>
    <xf numFmtId="2" fontId="0" fillId="0" borderId="27" xfId="0" applyNumberFormat="1" applyBorder="1" applyAlignment="1">
      <alignment horizontal="center"/>
    </xf>
    <xf numFmtId="0" fontId="0" fillId="0" borderId="55" xfId="0" applyFont="1" applyFill="1" applyBorder="1" applyAlignment="1" applyProtection="1">
      <alignment horizontal="center" vertical="center"/>
      <protection locked="0"/>
    </xf>
    <xf numFmtId="164" fontId="9" fillId="2" borderId="55" xfId="0" applyNumberFormat="1" applyFont="1" applyFill="1" applyBorder="1" applyAlignment="1" applyProtection="1">
      <alignment horizontal="center" vertical="center"/>
    </xf>
    <xf numFmtId="169" fontId="0" fillId="0" borderId="0" xfId="0" applyNumberFormat="1" applyAlignment="1">
      <alignment horizontal="center"/>
    </xf>
    <xf numFmtId="0" fontId="40" fillId="12" borderId="35" xfId="32" applyAlignment="1" applyProtection="1">
      <alignment horizontal="center"/>
      <protection locked="0"/>
    </xf>
    <xf numFmtId="0" fontId="0" fillId="0" borderId="0" xfId="0" applyAlignment="1" applyProtection="1">
      <alignment horizontal="center" vertical="center" wrapText="1"/>
      <protection locked="0"/>
    </xf>
    <xf numFmtId="9" fontId="0" fillId="0" borderId="0" xfId="0" applyNumberFormat="1" applyFill="1" applyBorder="1" applyAlignment="1">
      <alignment horizontal="center"/>
    </xf>
    <xf numFmtId="0" fontId="0" fillId="0" borderId="51" xfId="0" applyFill="1" applyBorder="1" applyAlignment="1">
      <alignment horizontal="center" wrapText="1"/>
    </xf>
    <xf numFmtId="9" fontId="0" fillId="0" borderId="47" xfId="0" applyNumberFormat="1" applyFill="1" applyBorder="1" applyAlignment="1">
      <alignment horizontal="center"/>
    </xf>
    <xf numFmtId="0" fontId="5" fillId="0" borderId="55" xfId="0" applyFont="1" applyFill="1" applyBorder="1" applyAlignment="1" applyProtection="1">
      <alignment horizontal="center" vertical="center"/>
      <protection locked="0"/>
    </xf>
    <xf numFmtId="166" fontId="40" fillId="12" borderId="56" xfId="32" applyNumberFormat="1" applyBorder="1" applyAlignment="1" applyProtection="1">
      <alignment horizontal="center" vertical="center"/>
      <protection locked="0"/>
    </xf>
    <xf numFmtId="37" fontId="40" fillId="12" borderId="56" xfId="32" applyNumberFormat="1" applyBorder="1" applyAlignment="1" applyProtection="1">
      <alignment horizontal="center" vertical="center"/>
      <protection locked="0"/>
    </xf>
    <xf numFmtId="0" fontId="40" fillId="12" borderId="56" xfId="32" applyBorder="1" applyAlignment="1" applyProtection="1">
      <alignment horizontal="center" vertical="center"/>
      <protection locked="0"/>
    </xf>
    <xf numFmtId="164" fontId="40" fillId="12" borderId="60" xfId="32" applyNumberFormat="1" applyBorder="1" applyAlignment="1" applyProtection="1">
      <alignment horizontal="center" vertical="center"/>
      <protection locked="0"/>
    </xf>
    <xf numFmtId="164" fontId="9" fillId="2" borderId="57" xfId="0" applyNumberFormat="1" applyFont="1" applyFill="1" applyBorder="1" applyAlignment="1" applyProtection="1">
      <alignment horizontal="center" vertical="center"/>
    </xf>
    <xf numFmtId="164" fontId="9" fillId="2" borderId="12" xfId="0" applyNumberFormat="1" applyFont="1" applyFill="1" applyBorder="1" applyAlignment="1" applyProtection="1">
      <alignment horizontal="center" vertical="center"/>
    </xf>
    <xf numFmtId="164" fontId="6" fillId="42" borderId="61" xfId="0" applyNumberFormat="1" applyFont="1" applyFill="1" applyBorder="1" applyAlignment="1" applyProtection="1">
      <alignment horizontal="center" vertical="center"/>
      <protection locked="0"/>
    </xf>
    <xf numFmtId="164" fontId="6" fillId="42" borderId="12" xfId="0" applyNumberFormat="1" applyFont="1" applyFill="1" applyBorder="1" applyAlignment="1" applyProtection="1">
      <alignment horizontal="center" vertical="center"/>
      <protection locked="0"/>
    </xf>
    <xf numFmtId="164" fontId="6" fillId="42" borderId="62" xfId="0" applyNumberFormat="1" applyFont="1" applyFill="1" applyBorder="1" applyAlignment="1" applyProtection="1">
      <alignment horizontal="center" vertical="center"/>
      <protection locked="0"/>
    </xf>
    <xf numFmtId="164" fontId="9" fillId="2" borderId="61" xfId="0" applyNumberFormat="1" applyFont="1" applyFill="1" applyBorder="1" applyAlignment="1" applyProtection="1">
      <alignment horizontal="center" vertical="center"/>
    </xf>
    <xf numFmtId="164" fontId="9" fillId="2" borderId="62" xfId="0" applyNumberFormat="1" applyFont="1" applyFill="1" applyBorder="1" applyAlignment="1" applyProtection="1">
      <alignment horizontal="center" vertical="center"/>
    </xf>
    <xf numFmtId="164" fontId="74" fillId="13" borderId="36" xfId="33" applyNumberFormat="1" applyFont="1" applyAlignment="1" applyProtection="1">
      <alignment horizontal="center"/>
      <protection locked="0"/>
    </xf>
    <xf numFmtId="0" fontId="0" fillId="0" borderId="0" xfId="0" applyAlignment="1">
      <alignment horizontal="center"/>
    </xf>
    <xf numFmtId="0" fontId="5" fillId="0" borderId="0" xfId="0" applyFont="1" applyAlignment="1">
      <alignment horizontal="center" vertical="center" wrapText="1"/>
    </xf>
    <xf numFmtId="0" fontId="0" fillId="0" borderId="0" xfId="0" applyFont="1" applyAlignment="1">
      <alignment wrapText="1"/>
    </xf>
    <xf numFmtId="0" fontId="0" fillId="0" borderId="47" xfId="0" applyBorder="1" applyAlignment="1">
      <alignment horizontal="center"/>
    </xf>
    <xf numFmtId="0" fontId="0" fillId="0" borderId="51" xfId="0" applyBorder="1" applyAlignment="1">
      <alignment horizontal="left"/>
    </xf>
    <xf numFmtId="0" fontId="0" fillId="0" borderId="51" xfId="0" applyBorder="1" applyAlignment="1">
      <alignment horizontal="center"/>
    </xf>
    <xf numFmtId="0" fontId="0" fillId="0" borderId="0" xfId="0" applyBorder="1" applyAlignment="1">
      <alignment horizontal="center"/>
    </xf>
    <xf numFmtId="0" fontId="5" fillId="0" borderId="78" xfId="0" applyFont="1" applyFill="1" applyBorder="1" applyAlignment="1" applyProtection="1">
      <alignment horizontal="center" vertical="center"/>
      <protection locked="0"/>
    </xf>
    <xf numFmtId="0" fontId="5" fillId="0" borderId="76" xfId="0" applyFont="1" applyFill="1" applyBorder="1" applyAlignment="1" applyProtection="1">
      <alignment horizontal="center" vertical="center"/>
      <protection locked="0"/>
    </xf>
    <xf numFmtId="164" fontId="0" fillId="2" borderId="15" xfId="0" applyNumberFormat="1" applyFont="1" applyFill="1" applyBorder="1" applyAlignment="1" applyProtection="1">
      <alignment horizontal="center" vertical="center"/>
    </xf>
    <xf numFmtId="164" fontId="0" fillId="2" borderId="71" xfId="0" applyNumberFormat="1" applyFont="1" applyFill="1" applyBorder="1" applyAlignment="1" applyProtection="1">
      <alignment horizontal="center" vertical="center"/>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horizontal="center" vertical="center"/>
      <protection locked="0"/>
    </xf>
    <xf numFmtId="164" fontId="6" fillId="42" borderId="19" xfId="0" applyNumberFormat="1" applyFont="1" applyFill="1" applyBorder="1" applyAlignment="1" applyProtection="1">
      <alignment horizontal="center" vertical="center"/>
      <protection locked="0"/>
    </xf>
    <xf numFmtId="164" fontId="0" fillId="2" borderId="13" xfId="0" applyNumberFormat="1" applyFont="1" applyFill="1" applyBorder="1" applyAlignment="1" applyProtection="1">
      <alignment horizontal="center" vertical="center"/>
    </xf>
    <xf numFmtId="164" fontId="0" fillId="2" borderId="79" xfId="0" applyNumberFormat="1" applyFont="1" applyFill="1" applyBorder="1" applyAlignment="1" applyProtection="1">
      <alignment horizontal="center" vertical="center"/>
    </xf>
    <xf numFmtId="0" fontId="0" fillId="0" borderId="80" xfId="0" applyFont="1" applyFill="1" applyBorder="1" applyAlignment="1" applyProtection="1">
      <alignment vertical="center" wrapText="1"/>
      <protection locked="0"/>
    </xf>
    <xf numFmtId="0" fontId="0" fillId="0" borderId="81" xfId="0" applyFont="1" applyFill="1" applyBorder="1" applyAlignment="1" applyProtection="1">
      <alignment vertical="center" wrapText="1"/>
      <protection locked="0"/>
    </xf>
    <xf numFmtId="0" fontId="0" fillId="0" borderId="82" xfId="0" applyFont="1" applyFill="1" applyBorder="1" applyAlignment="1" applyProtection="1">
      <alignment horizontal="center" vertical="center"/>
      <protection locked="0"/>
    </xf>
    <xf numFmtId="164" fontId="9" fillId="2" borderId="83" xfId="0" applyNumberFormat="1" applyFont="1" applyFill="1" applyBorder="1" applyAlignment="1" applyProtection="1">
      <alignment horizontal="center" vertical="center"/>
    </xf>
    <xf numFmtId="164" fontId="9" fillId="2" borderId="17" xfId="0" applyNumberFormat="1" applyFont="1" applyFill="1" applyBorder="1" applyAlignment="1" applyProtection="1">
      <alignment horizontal="center" vertical="center"/>
    </xf>
    <xf numFmtId="164" fontId="0" fillId="2" borderId="84" xfId="0" applyNumberFormat="1" applyFont="1" applyFill="1" applyBorder="1" applyAlignment="1" applyProtection="1">
      <alignment horizontal="center" vertical="center"/>
    </xf>
    <xf numFmtId="0" fontId="55" fillId="0" borderId="0" xfId="0" applyFont="1" applyAlignment="1" applyProtection="1">
      <protection locked="0"/>
    </xf>
    <xf numFmtId="0" fontId="0" fillId="0" borderId="0" xfId="0" applyFont="1" applyAlignment="1" applyProtection="1">
      <alignment vertical="center"/>
      <protection locked="0"/>
    </xf>
    <xf numFmtId="37" fontId="40" fillId="12" borderId="35" xfId="32" applyNumberFormat="1" applyBorder="1" applyAlignment="1" applyProtection="1">
      <alignment horizontal="center" vertical="center"/>
      <protection locked="0"/>
    </xf>
    <xf numFmtId="166" fontId="40" fillId="12" borderId="35" xfId="32" applyNumberFormat="1" applyBorder="1" applyAlignment="1" applyProtection="1">
      <alignment horizontal="center" vertical="center"/>
      <protection locked="0"/>
    </xf>
    <xf numFmtId="0" fontId="40" fillId="12" borderId="68" xfId="32" applyBorder="1" applyAlignment="1" applyProtection="1">
      <alignment horizontal="center" vertical="center"/>
      <protection locked="0"/>
    </xf>
    <xf numFmtId="0" fontId="5" fillId="0" borderId="80" xfId="0" applyFont="1" applyFill="1" applyBorder="1" applyAlignment="1" applyProtection="1">
      <alignment vertical="center" wrapText="1"/>
      <protection locked="0"/>
    </xf>
    <xf numFmtId="0" fontId="40" fillId="12" borderId="35" xfId="32"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horizontal="center" vertical="center"/>
      <protection locked="0"/>
    </xf>
    <xf numFmtId="164" fontId="0" fillId="2" borderId="72" xfId="0" applyNumberFormat="1" applyFont="1" applyFill="1" applyBorder="1" applyAlignment="1" applyProtection="1">
      <alignment horizontal="center" vertical="center"/>
    </xf>
    <xf numFmtId="0" fontId="5" fillId="0" borderId="94" xfId="0" applyFont="1" applyFill="1" applyBorder="1" applyAlignment="1" applyProtection="1">
      <alignment horizontal="center" vertical="center"/>
      <protection locked="0"/>
    </xf>
    <xf numFmtId="0" fontId="0" fillId="0" borderId="0" xfId="0" applyAlignment="1"/>
    <xf numFmtId="10" fontId="0" fillId="0" borderId="0" xfId="0" applyNumberFormat="1"/>
    <xf numFmtId="0" fontId="0" fillId="0" borderId="49" xfId="0" applyBorder="1" applyAlignment="1"/>
    <xf numFmtId="0" fontId="0" fillId="0" borderId="0" xfId="0" applyBorder="1" applyAlignment="1"/>
    <xf numFmtId="0" fontId="0" fillId="0" borderId="46" xfId="0" applyBorder="1" applyAlignment="1"/>
    <xf numFmtId="0" fontId="0" fillId="0" borderId="47" xfId="0" applyBorder="1" applyAlignment="1"/>
    <xf numFmtId="0" fontId="0" fillId="0" borderId="0" xfId="0" applyAlignment="1">
      <alignment horizontal="center"/>
    </xf>
    <xf numFmtId="0" fontId="0" fillId="0" borderId="0" xfId="0" applyBorder="1" applyAlignment="1">
      <alignment horizontal="center"/>
    </xf>
    <xf numFmtId="0" fontId="24" fillId="0" borderId="0" xfId="0" applyFont="1" applyAlignment="1" applyProtection="1">
      <alignment horizontal="center" vertical="center"/>
      <protection locked="0"/>
    </xf>
    <xf numFmtId="0" fontId="55" fillId="0" borderId="0" xfId="0" applyFont="1" applyAlignment="1" applyProtection="1">
      <alignment horizontal="left" vertical="center" indent="2"/>
      <protection locked="0"/>
    </xf>
    <xf numFmtId="0" fontId="8" fillId="0" borderId="42"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wrapText="1"/>
      <protection locked="0"/>
    </xf>
    <xf numFmtId="164" fontId="5" fillId="0" borderId="42" xfId="0" applyNumberFormat="1" applyFont="1" applyFill="1" applyBorder="1" applyAlignment="1" applyProtection="1">
      <alignment vertical="center" wrapText="1"/>
      <protection locked="0"/>
    </xf>
    <xf numFmtId="0" fontId="5" fillId="0" borderId="42" xfId="0" applyFont="1" applyFill="1" applyBorder="1" applyAlignment="1" applyProtection="1">
      <alignment vertical="center" wrapText="1"/>
      <protection locked="0"/>
    </xf>
    <xf numFmtId="166" fontId="9" fillId="0" borderId="42" xfId="23" applyNumberFormat="1" applyFont="1" applyFill="1" applyBorder="1" applyAlignment="1" applyProtection="1">
      <alignment horizontal="center" vertical="center"/>
      <protection locked="0"/>
    </xf>
    <xf numFmtId="166" fontId="9" fillId="0" borderId="42" xfId="23" applyNumberFormat="1" applyFont="1" applyFill="1" applyBorder="1" applyAlignment="1" applyProtection="1">
      <alignment horizontal="center" vertical="center" wrapText="1"/>
      <protection locked="0"/>
    </xf>
    <xf numFmtId="166" fontId="9" fillId="0" borderId="42" xfId="23" applyNumberFormat="1" applyFont="1" applyBorder="1" applyAlignment="1" applyProtection="1">
      <alignment horizontal="center" vertical="center" wrapText="1"/>
      <protection locked="0"/>
    </xf>
    <xf numFmtId="166" fontId="9" fillId="0" borderId="42" xfId="23" applyNumberFormat="1" applyFont="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5" fillId="0" borderId="42" xfId="0" applyFont="1" applyFill="1" applyBorder="1" applyAlignment="1" applyProtection="1">
      <alignment horizontal="left" vertical="center" wrapText="1"/>
      <protection locked="0"/>
    </xf>
    <xf numFmtId="164" fontId="9" fillId="0" borderId="42" xfId="0" applyNumberFormat="1" applyFont="1" applyFill="1" applyBorder="1" applyAlignment="1" applyProtection="1">
      <alignment horizontal="center" vertical="center" wrapText="1"/>
      <protection locked="0"/>
    </xf>
    <xf numFmtId="164" fontId="9" fillId="0" borderId="42" xfId="0" applyNumberFormat="1" applyFont="1" applyFill="1" applyBorder="1" applyAlignment="1" applyProtection="1">
      <alignment horizontal="center" vertical="center"/>
      <protection locked="0"/>
    </xf>
    <xf numFmtId="2" fontId="9" fillId="0" borderId="42" xfId="0" applyNumberFormat="1" applyFont="1" applyFill="1" applyBorder="1" applyAlignment="1" applyProtection="1">
      <alignment horizontal="center" vertical="center"/>
      <protection locked="0"/>
    </xf>
    <xf numFmtId="0" fontId="51" fillId="0" borderId="42" xfId="0" applyFont="1" applyBorder="1" applyAlignment="1" applyProtection="1">
      <alignment vertical="top" wrapText="1"/>
      <protection locked="0"/>
    </xf>
    <xf numFmtId="0" fontId="9" fillId="0" borderId="42" xfId="0" applyFont="1" applyFill="1" applyBorder="1" applyAlignment="1" applyProtection="1">
      <alignment horizontal="center" vertical="center" wrapText="1"/>
      <protection locked="0"/>
    </xf>
    <xf numFmtId="0" fontId="29" fillId="0" borderId="0" xfId="0" applyFont="1" applyAlignment="1" applyProtection="1">
      <alignment vertical="center"/>
      <protection locked="0"/>
    </xf>
    <xf numFmtId="0" fontId="8" fillId="0" borderId="9" xfId="0" applyFont="1" applyBorder="1" applyAlignment="1" applyProtection="1">
      <alignment wrapText="1"/>
      <protection locked="0"/>
    </xf>
    <xf numFmtId="0" fontId="8" fillId="0" borderId="5" xfId="0" applyFont="1" applyBorder="1" applyAlignment="1" applyProtection="1">
      <alignment horizontal="left" vertical="top"/>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1" xfId="0" applyFont="1" applyBorder="1" applyAlignment="1" applyProtection="1">
      <alignment horizontal="left" vertical="center" wrapText="1" indent="1"/>
      <protection locked="0"/>
    </xf>
    <xf numFmtId="0" fontId="0" fillId="0" borderId="5" xfId="0" applyFont="1" applyBorder="1" applyProtection="1">
      <protection locked="0"/>
    </xf>
    <xf numFmtId="166" fontId="0" fillId="0" borderId="4" xfId="23" applyNumberFormat="1" applyFont="1" applyBorder="1" applyAlignment="1" applyProtection="1">
      <alignment horizontal="center" vertical="center"/>
      <protection locked="0"/>
    </xf>
    <xf numFmtId="166" fontId="0" fillId="0" borderId="2" xfId="23" applyNumberFormat="1" applyFont="1" applyBorder="1" applyAlignment="1" applyProtection="1">
      <alignment horizontal="center" vertical="center"/>
      <protection locked="0"/>
    </xf>
    <xf numFmtId="43" fontId="0" fillId="0" borderId="5" xfId="23" applyFont="1" applyBorder="1" applyProtection="1">
      <protection locked="0"/>
    </xf>
    <xf numFmtId="0" fontId="0" fillId="0" borderId="6" xfId="0" applyFont="1" applyBorder="1" applyProtection="1">
      <protection locked="0"/>
    </xf>
    <xf numFmtId="166" fontId="6" fillId="0" borderId="1" xfId="23" applyNumberFormat="1" applyFont="1" applyBorder="1" applyAlignment="1" applyProtection="1">
      <alignment horizontal="center"/>
      <protection locked="0"/>
    </xf>
    <xf numFmtId="166" fontId="6" fillId="0" borderId="0" xfId="23" applyNumberFormat="1" applyFont="1" applyBorder="1" applyAlignment="1" applyProtection="1">
      <alignment horizontal="center"/>
      <protection locked="0"/>
    </xf>
    <xf numFmtId="43" fontId="0" fillId="0" borderId="6" xfId="23" applyFont="1" applyBorder="1" applyProtection="1">
      <protection locked="0"/>
    </xf>
    <xf numFmtId="0" fontId="0" fillId="0" borderId="6" xfId="0" applyBorder="1" applyProtection="1">
      <protection locked="0"/>
    </xf>
    <xf numFmtId="0" fontId="0" fillId="0" borderId="7" xfId="0" applyFont="1" applyFill="1" applyBorder="1" applyAlignment="1" applyProtection="1">
      <alignment horizontal="left" vertical="center" wrapText="1" indent="1"/>
      <protection locked="0"/>
    </xf>
    <xf numFmtId="0" fontId="0" fillId="0" borderId="8" xfId="0" applyFont="1" applyBorder="1" applyProtection="1">
      <protection locked="0"/>
    </xf>
    <xf numFmtId="166" fontId="6" fillId="0" borderId="7" xfId="23" applyNumberFormat="1" applyFont="1" applyFill="1" applyBorder="1" applyAlignment="1" applyProtection="1">
      <alignment horizontal="left"/>
      <protection locked="0"/>
    </xf>
    <xf numFmtId="166" fontId="6" fillId="0" borderId="3" xfId="23" applyNumberFormat="1" applyFont="1" applyBorder="1" applyAlignment="1" applyProtection="1">
      <alignment horizontal="center"/>
      <protection locked="0"/>
    </xf>
    <xf numFmtId="0" fontId="0" fillId="0" borderId="8" xfId="0" applyBorder="1" applyProtection="1">
      <protection locked="0"/>
    </xf>
    <xf numFmtId="0" fontId="50" fillId="0" borderId="0" xfId="0" applyFont="1" applyFill="1" applyProtection="1">
      <protection locked="0"/>
    </xf>
    <xf numFmtId="0" fontId="9" fillId="2" borderId="42" xfId="0" applyFont="1" applyFill="1" applyBorder="1" applyAlignment="1" applyProtection="1">
      <alignment horizontal="center" vertical="center"/>
      <protection hidden="1"/>
    </xf>
    <xf numFmtId="2" fontId="9" fillId="2" borderId="42" xfId="0" applyNumberFormat="1" applyFont="1" applyFill="1" applyBorder="1" applyAlignment="1" applyProtection="1">
      <alignment horizontal="center" vertical="center" wrapText="1"/>
      <protection hidden="1"/>
    </xf>
    <xf numFmtId="166" fontId="9" fillId="2" borderId="42" xfId="23" applyNumberFormat="1" applyFont="1" applyFill="1" applyBorder="1" applyAlignment="1" applyProtection="1">
      <alignment horizontal="center" vertical="center"/>
      <protection hidden="1"/>
    </xf>
    <xf numFmtId="2" fontId="9" fillId="2" borderId="42" xfId="0" applyNumberFormat="1" applyFont="1" applyFill="1" applyBorder="1" applyAlignment="1" applyProtection="1">
      <alignment horizontal="center" vertical="center"/>
      <protection hidden="1"/>
    </xf>
    <xf numFmtId="166" fontId="9" fillId="2" borderId="42" xfId="23" applyNumberFormat="1" applyFont="1" applyFill="1" applyBorder="1" applyAlignment="1" applyProtection="1">
      <alignment vertical="center"/>
      <protection hidden="1"/>
    </xf>
    <xf numFmtId="164" fontId="9" fillId="2" borderId="42" xfId="0" applyNumberFormat="1" applyFont="1" applyFill="1" applyBorder="1" applyAlignment="1" applyProtection="1">
      <alignment horizontal="center" vertical="center"/>
      <protection hidden="1"/>
    </xf>
    <xf numFmtId="164" fontId="9" fillId="2" borderId="42" xfId="0" applyNumberFormat="1" applyFont="1" applyFill="1" applyBorder="1" applyAlignment="1" applyProtection="1">
      <alignment horizontal="center" vertical="center" wrapText="1"/>
      <protection hidden="1"/>
    </xf>
    <xf numFmtId="166" fontId="0" fillId="2" borderId="21" xfId="23" applyNumberFormat="1" applyFont="1" applyFill="1" applyBorder="1" applyAlignment="1" applyProtection="1">
      <alignment horizontal="center" vertical="center"/>
      <protection hidden="1"/>
    </xf>
    <xf numFmtId="166" fontId="0" fillId="42" borderId="70" xfId="23" applyNumberFormat="1" applyFont="1" applyFill="1" applyBorder="1" applyAlignment="1" applyProtection="1">
      <alignment horizontal="center" vertical="center"/>
      <protection hidden="1"/>
    </xf>
    <xf numFmtId="171" fontId="0" fillId="2" borderId="23" xfId="23" applyNumberFormat="1" applyFont="1" applyFill="1" applyBorder="1" applyAlignment="1" applyProtection="1">
      <alignment horizontal="center" vertical="center"/>
      <protection hidden="1"/>
    </xf>
    <xf numFmtId="171" fontId="0" fillId="42" borderId="71" xfId="23" applyNumberFormat="1" applyFont="1" applyFill="1" applyBorder="1" applyAlignment="1" applyProtection="1">
      <alignment horizontal="center" vertical="center"/>
      <protection hidden="1"/>
    </xf>
    <xf numFmtId="171" fontId="0" fillId="2" borderId="22" xfId="23" applyNumberFormat="1" applyFont="1" applyFill="1" applyBorder="1" applyAlignment="1" applyProtection="1">
      <alignment horizontal="center" vertical="center"/>
      <protection hidden="1"/>
    </xf>
    <xf numFmtId="171" fontId="0" fillId="2" borderId="25" xfId="23" applyNumberFormat="1" applyFont="1" applyFill="1" applyBorder="1" applyAlignment="1" applyProtection="1">
      <alignment horizontal="center" vertical="center"/>
      <protection hidden="1"/>
    </xf>
    <xf numFmtId="171" fontId="0" fillId="42" borderId="73" xfId="23" applyNumberFormat="1" applyFont="1" applyFill="1" applyBorder="1" applyAlignment="1" applyProtection="1">
      <alignment horizontal="center" vertical="center"/>
      <protection hidden="1"/>
    </xf>
    <xf numFmtId="170" fontId="0" fillId="2" borderId="63" xfId="0" applyNumberFormat="1" applyFont="1" applyFill="1" applyBorder="1" applyAlignment="1" applyProtection="1">
      <alignment horizontal="center" vertical="center"/>
      <protection hidden="1"/>
    </xf>
    <xf numFmtId="170" fontId="0" fillId="42" borderId="70" xfId="23" applyNumberFormat="1" applyFont="1" applyFill="1" applyBorder="1" applyAlignment="1" applyProtection="1">
      <alignment horizontal="center" vertical="center"/>
      <protection hidden="1"/>
    </xf>
    <xf numFmtId="170" fontId="0" fillId="2" borderId="64" xfId="0" applyNumberFormat="1" applyFont="1" applyFill="1" applyBorder="1" applyAlignment="1" applyProtection="1">
      <alignment horizontal="center" vertical="center"/>
      <protection hidden="1"/>
    </xf>
    <xf numFmtId="170" fontId="0" fillId="42" borderId="71" xfId="23" applyNumberFormat="1" applyFont="1" applyFill="1" applyBorder="1" applyAlignment="1" applyProtection="1">
      <alignment horizontal="center" vertical="center"/>
      <protection hidden="1"/>
    </xf>
    <xf numFmtId="170" fontId="0" fillId="2" borderId="65" xfId="0" applyNumberFormat="1" applyFont="1" applyFill="1" applyBorder="1" applyAlignment="1" applyProtection="1">
      <alignment horizontal="center" vertical="center"/>
      <protection hidden="1"/>
    </xf>
    <xf numFmtId="170" fontId="0" fillId="2" borderId="25" xfId="0" applyNumberFormat="1" applyFont="1" applyFill="1" applyBorder="1" applyAlignment="1" applyProtection="1">
      <alignment horizontal="center" vertical="center"/>
      <protection hidden="1"/>
    </xf>
    <xf numFmtId="170" fontId="0" fillId="2" borderId="22" xfId="0" applyNumberFormat="1" applyFont="1" applyFill="1" applyBorder="1" applyAlignment="1" applyProtection="1">
      <alignment horizontal="center" vertical="center"/>
      <protection hidden="1"/>
    </xf>
    <xf numFmtId="170" fontId="5" fillId="2" borderId="66" xfId="0" applyNumberFormat="1" applyFont="1" applyFill="1" applyBorder="1" applyAlignment="1" applyProtection="1">
      <alignment horizontal="center" vertical="center"/>
      <protection hidden="1"/>
    </xf>
    <xf numFmtId="170" fontId="5" fillId="42" borderId="72" xfId="23" applyNumberFormat="1" applyFont="1" applyFill="1" applyBorder="1" applyAlignment="1" applyProtection="1">
      <alignment horizontal="center" vertical="center"/>
      <protection hidden="1"/>
    </xf>
    <xf numFmtId="170" fontId="0" fillId="2" borderId="23" xfId="0" applyNumberFormat="1" applyFont="1" applyFill="1" applyBorder="1" applyAlignment="1" applyProtection="1">
      <alignment horizontal="center" vertical="center"/>
      <protection hidden="1"/>
    </xf>
    <xf numFmtId="170" fontId="0" fillId="42" borderId="74" xfId="23" applyNumberFormat="1" applyFont="1" applyFill="1" applyBorder="1" applyAlignment="1" applyProtection="1">
      <alignment horizontal="center" vertical="center"/>
      <protection hidden="1"/>
    </xf>
    <xf numFmtId="170" fontId="0" fillId="2" borderId="66" xfId="0" applyNumberFormat="1" applyFont="1" applyFill="1" applyBorder="1" applyAlignment="1" applyProtection="1">
      <alignment horizontal="center" vertical="center"/>
      <protection hidden="1"/>
    </xf>
    <xf numFmtId="170" fontId="0" fillId="42" borderId="85" xfId="23" applyNumberFormat="1" applyFont="1" applyFill="1" applyBorder="1" applyAlignment="1" applyProtection="1">
      <alignment horizontal="center" vertical="center"/>
      <protection hidden="1"/>
    </xf>
    <xf numFmtId="166" fontId="0" fillId="42" borderId="86" xfId="23" applyNumberFormat="1" applyFont="1" applyFill="1" applyBorder="1" applyAlignment="1" applyProtection="1">
      <alignment horizontal="center" vertical="center" wrapText="1"/>
      <protection hidden="1"/>
    </xf>
    <xf numFmtId="166" fontId="40" fillId="2" borderId="67" xfId="32" applyNumberFormat="1" applyFill="1" applyBorder="1" applyAlignment="1" applyProtection="1">
      <alignment horizontal="center" vertical="center" wrapText="1"/>
      <protection hidden="1"/>
    </xf>
    <xf numFmtId="3" fontId="40" fillId="2" borderId="68" xfId="32" applyNumberFormat="1" applyFill="1" applyBorder="1" applyAlignment="1" applyProtection="1">
      <alignment horizontal="center" vertical="center" wrapText="1"/>
      <protection hidden="1"/>
    </xf>
    <xf numFmtId="0" fontId="40" fillId="2" borderId="69" xfId="32" applyFill="1" applyBorder="1" applyAlignment="1" applyProtection="1">
      <alignment horizontal="center" vertical="center"/>
      <protection hidden="1"/>
    </xf>
    <xf numFmtId="0" fontId="0" fillId="2" borderId="87" xfId="0" applyFill="1" applyBorder="1" applyAlignment="1" applyProtection="1">
      <alignment horizontal="center" vertical="center"/>
      <protection hidden="1"/>
    </xf>
    <xf numFmtId="0" fontId="0" fillId="2" borderId="88" xfId="0" applyFill="1" applyBorder="1" applyAlignment="1" applyProtection="1">
      <alignment horizontal="center" vertical="center"/>
      <protection hidden="1"/>
    </xf>
    <xf numFmtId="0" fontId="0" fillId="2" borderId="89" xfId="0" applyFill="1" applyBorder="1" applyAlignment="1" applyProtection="1">
      <alignment horizontal="center" vertical="center"/>
      <protection hidden="1"/>
    </xf>
    <xf numFmtId="164" fontId="0" fillId="2" borderId="90" xfId="0" applyNumberFormat="1" applyFill="1" applyBorder="1" applyAlignment="1" applyProtection="1">
      <alignment horizontal="center" vertical="center"/>
      <protection hidden="1"/>
    </xf>
    <xf numFmtId="164" fontId="0" fillId="2" borderId="91" xfId="0" applyNumberFormat="1" applyFill="1" applyBorder="1" applyAlignment="1" applyProtection="1">
      <alignment horizontal="center" vertical="center"/>
      <protection hidden="1"/>
    </xf>
    <xf numFmtId="164" fontId="5" fillId="2" borderId="92" xfId="0" applyNumberFormat="1" applyFont="1" applyFill="1" applyBorder="1" applyAlignment="1" applyProtection="1">
      <alignment horizontal="center" vertical="center"/>
      <protection hidden="1"/>
    </xf>
    <xf numFmtId="164" fontId="0" fillId="2" borderId="93" xfId="0" applyNumberFormat="1" applyFill="1" applyBorder="1" applyAlignment="1" applyProtection="1">
      <alignment horizontal="center" vertical="center"/>
      <protection hidden="1"/>
    </xf>
    <xf numFmtId="3" fontId="0" fillId="2" borderId="57" xfId="23" applyNumberFormat="1" applyFont="1" applyFill="1" applyBorder="1" applyAlignment="1" applyProtection="1">
      <alignment horizontal="center" vertical="center"/>
      <protection hidden="1"/>
    </xf>
    <xf numFmtId="3" fontId="0" fillId="2" borderId="12" xfId="23" applyNumberFormat="1" applyFont="1" applyFill="1" applyBorder="1" applyAlignment="1" applyProtection="1">
      <alignment horizontal="center" vertical="center"/>
      <protection hidden="1"/>
    </xf>
    <xf numFmtId="164" fontId="6" fillId="2" borderId="58" xfId="0" applyNumberFormat="1" applyFont="1" applyFill="1" applyBorder="1" applyAlignment="1" applyProtection="1">
      <alignment horizontal="center" vertical="center"/>
      <protection hidden="1"/>
    </xf>
    <xf numFmtId="164" fontId="6" fillId="2" borderId="57" xfId="0" applyNumberFormat="1" applyFont="1" applyFill="1" applyBorder="1" applyAlignment="1" applyProtection="1">
      <alignment horizontal="center" vertical="center"/>
      <protection hidden="1"/>
    </xf>
    <xf numFmtId="164" fontId="6" fillId="2" borderId="12" xfId="0" applyNumberFormat="1" applyFont="1" applyFill="1" applyBorder="1" applyAlignment="1" applyProtection="1">
      <alignment horizontal="center" vertical="center"/>
      <protection hidden="1"/>
    </xf>
    <xf numFmtId="164" fontId="9" fillId="2" borderId="57" xfId="0" applyNumberFormat="1" applyFont="1" applyFill="1" applyBorder="1" applyAlignment="1" applyProtection="1">
      <alignment horizontal="center" vertical="center"/>
      <protection hidden="1"/>
    </xf>
    <xf numFmtId="164" fontId="9" fillId="2" borderId="12" xfId="0" applyNumberFormat="1" applyFont="1" applyFill="1" applyBorder="1" applyAlignment="1" applyProtection="1">
      <alignment horizontal="center" vertical="center"/>
      <protection hidden="1"/>
    </xf>
    <xf numFmtId="164" fontId="10" fillId="2" borderId="59" xfId="0" applyNumberFormat="1" applyFont="1" applyFill="1" applyBorder="1" applyAlignment="1" applyProtection="1">
      <alignment horizontal="center" vertical="center"/>
      <protection hidden="1"/>
    </xf>
    <xf numFmtId="164" fontId="10" fillId="2" borderId="24" xfId="0" applyNumberFormat="1" applyFont="1" applyFill="1" applyBorder="1" applyAlignment="1" applyProtection="1">
      <alignment horizontal="center" vertical="center"/>
      <protection hidden="1"/>
    </xf>
    <xf numFmtId="164" fontId="0" fillId="2" borderId="58" xfId="0" applyNumberFormat="1" applyFill="1" applyBorder="1" applyAlignment="1" applyProtection="1">
      <alignment horizontal="center" vertical="center"/>
      <protection hidden="1"/>
    </xf>
    <xf numFmtId="164" fontId="9" fillId="2" borderId="83" xfId="0" applyNumberFormat="1" applyFont="1" applyFill="1" applyBorder="1" applyAlignment="1" applyProtection="1">
      <alignment horizontal="center" vertical="center"/>
      <protection hidden="1"/>
    </xf>
    <xf numFmtId="0" fontId="40" fillId="12" borderId="35" xfId="32" applyAlignment="1" applyProtection="1">
      <alignment horizontal="center"/>
      <protection locked="0"/>
    </xf>
    <xf numFmtId="166" fontId="40" fillId="12" borderId="77" xfId="32" applyNumberFormat="1" applyBorder="1" applyAlignment="1" applyProtection="1">
      <alignment horizontal="center" vertical="center" wrapText="1"/>
      <protection locked="0"/>
    </xf>
    <xf numFmtId="0" fontId="40" fillId="12" borderId="35" xfId="32" applyFont="1" applyAlignment="1" applyProtection="1">
      <alignment horizontal="center"/>
      <protection locked="0"/>
    </xf>
    <xf numFmtId="0" fontId="74" fillId="13" borderId="36" xfId="33" applyFont="1" applyAlignment="1" applyProtection="1">
      <alignment horizontal="center"/>
    </xf>
    <xf numFmtId="0" fontId="0" fillId="0" borderId="0" xfId="0" applyAlignment="1">
      <alignment horizontal="center"/>
    </xf>
    <xf numFmtId="0" fontId="0" fillId="0" borderId="0" xfId="0" applyBorder="1" applyAlignment="1">
      <alignment horizontal="center"/>
    </xf>
    <xf numFmtId="0" fontId="15" fillId="0" borderId="9" xfId="0" applyFont="1" applyFill="1" applyBorder="1" applyAlignment="1">
      <alignment horizontal="right" vertical="top" wrapText="1"/>
    </xf>
    <xf numFmtId="0" fontId="15" fillId="0" borderId="10" xfId="0" applyFont="1" applyFill="1" applyBorder="1" applyAlignment="1">
      <alignment horizontal="right" vertical="top" wrapText="1"/>
    </xf>
    <xf numFmtId="0" fontId="15" fillId="0"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2" fillId="0" borderId="9" xfId="0" applyFont="1" applyBorder="1" applyAlignment="1">
      <alignment horizontal="center" vertical="top" wrapText="1"/>
    </xf>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0" fillId="6" borderId="0" xfId="0" applyFill="1" applyBorder="1" applyAlignment="1">
      <alignment horizontal="left" wrapText="1"/>
    </xf>
    <xf numFmtId="0" fontId="0" fillId="0" borderId="0" xfId="0" applyBorder="1" applyAlignment="1">
      <alignment horizontal="left" wrapText="1"/>
    </xf>
    <xf numFmtId="14" fontId="0" fillId="0" borderId="0" xfId="0" applyNumberFormat="1" applyBorder="1" applyAlignment="1" applyProtection="1">
      <alignment horizontal="left"/>
      <protection locked="0"/>
    </xf>
    <xf numFmtId="0" fontId="4" fillId="6" borderId="0" xfId="0" applyFont="1" applyFill="1" applyBorder="1" applyAlignment="1">
      <alignment vertical="top" wrapText="1"/>
    </xf>
    <xf numFmtId="0" fontId="0" fillId="6" borderId="0" xfId="0" applyFill="1" applyBorder="1" applyAlignment="1">
      <alignment vertical="top" wrapText="1"/>
    </xf>
    <xf numFmtId="0" fontId="4" fillId="6" borderId="0" xfId="0" applyFont="1"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4" fillId="6" borderId="0" xfId="0" applyFont="1" applyFill="1" applyBorder="1" applyAlignment="1" applyProtection="1">
      <alignment horizontal="left"/>
      <protection locked="0"/>
    </xf>
    <xf numFmtId="0" fontId="5" fillId="5" borderId="0" xfId="0" applyFont="1" applyFill="1" applyBorder="1" applyAlignment="1">
      <alignment horizontal="center" wrapText="1"/>
    </xf>
    <xf numFmtId="0" fontId="5" fillId="5" borderId="1" xfId="0" applyFont="1" applyFill="1" applyBorder="1" applyAlignment="1">
      <alignment horizontal="center" vertical="center"/>
    </xf>
    <xf numFmtId="0" fontId="0" fillId="6" borderId="0" xfId="0" applyFont="1" applyFill="1" applyBorder="1" applyAlignment="1">
      <alignment horizontal="left" wrapText="1"/>
    </xf>
    <xf numFmtId="0" fontId="4" fillId="6" borderId="0" xfId="0" applyFont="1" applyFill="1" applyBorder="1" applyAlignment="1">
      <alignment horizontal="left" wrapText="1"/>
    </xf>
    <xf numFmtId="0" fontId="0" fillId="6" borderId="0" xfId="0" applyFill="1" applyBorder="1" applyAlignment="1" applyProtection="1">
      <alignment horizontal="center" vertical="top" wrapText="1"/>
      <protection locked="0"/>
    </xf>
    <xf numFmtId="0" fontId="5" fillId="5" borderId="9" xfId="0" applyFont="1" applyFill="1" applyBorder="1" applyAlignment="1">
      <alignment horizontal="left" vertical="top" wrapText="1"/>
    </xf>
    <xf numFmtId="0" fontId="0" fillId="0" borderId="10"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xf>
    <xf numFmtId="0" fontId="0" fillId="0" borderId="31" xfId="0" applyFont="1" applyBorder="1" applyAlignment="1">
      <alignment vertical="center" wrapText="1"/>
    </xf>
    <xf numFmtId="0" fontId="0" fillId="0" borderId="28" xfId="0" applyFont="1" applyBorder="1" applyAlignment="1">
      <alignment vertical="center" wrapText="1"/>
    </xf>
    <xf numFmtId="0" fontId="56" fillId="0" borderId="0" xfId="0" applyFont="1" applyAlignment="1">
      <alignment horizontal="left" vertical="center" wrapText="1"/>
    </xf>
    <xf numFmtId="0" fontId="23"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lignment horizontal="center"/>
    </xf>
    <xf numFmtId="0" fontId="5" fillId="0" borderId="0" xfId="0" applyFont="1" applyAlignment="1">
      <alignment horizontal="center" vertical="center" wrapText="1"/>
    </xf>
    <xf numFmtId="0" fontId="0" fillId="0" borderId="0" xfId="0" applyFont="1" applyAlignment="1">
      <alignment wrapText="1"/>
    </xf>
    <xf numFmtId="0" fontId="5" fillId="0" borderId="0" xfId="0" applyFont="1" applyAlignment="1">
      <alignment horizontal="center"/>
    </xf>
    <xf numFmtId="0" fontId="61" fillId="0" borderId="0" xfId="0" applyFont="1" applyAlignment="1">
      <alignment horizontal="center"/>
    </xf>
    <xf numFmtId="0" fontId="71" fillId="0" borderId="0" xfId="0" applyFont="1" applyAlignment="1">
      <alignment horizontal="center"/>
    </xf>
    <xf numFmtId="0" fontId="5" fillId="0" borderId="0" xfId="0" applyFont="1" applyAlignment="1">
      <alignment horizontal="center" wrapText="1"/>
    </xf>
    <xf numFmtId="0" fontId="0" fillId="0" borderId="0" xfId="0" applyAlignment="1">
      <alignment horizontal="left" vertical="center" wrapText="1"/>
    </xf>
    <xf numFmtId="0" fontId="0" fillId="0" borderId="0" xfId="0" applyAlignment="1">
      <alignment horizontal="left" wrapText="1"/>
    </xf>
    <xf numFmtId="0" fontId="0" fillId="0" borderId="47" xfId="0" applyBorder="1" applyAlignment="1">
      <alignment horizontal="center"/>
    </xf>
    <xf numFmtId="0" fontId="5" fillId="0" borderId="0" xfId="0" applyNumberFormat="1" applyFont="1" applyAlignment="1">
      <alignment horizontal="center"/>
    </xf>
    <xf numFmtId="0" fontId="0" fillId="0" borderId="50" xfId="0" applyBorder="1" applyAlignment="1">
      <alignment horizontal="left"/>
    </xf>
    <xf numFmtId="0" fontId="0" fillId="0" borderId="51" xfId="0" applyBorder="1" applyAlignment="1">
      <alignment horizontal="left"/>
    </xf>
    <xf numFmtId="0" fontId="0" fillId="0" borderId="51" xfId="0" applyBorder="1" applyAlignment="1">
      <alignment horizontal="center"/>
    </xf>
    <xf numFmtId="0" fontId="0" fillId="0" borderId="0" xfId="0" applyBorder="1" applyAlignment="1">
      <alignment horizontal="center"/>
    </xf>
    <xf numFmtId="0" fontId="47" fillId="0" borderId="0" xfId="0" applyNumberFormat="1" applyFont="1" applyAlignment="1">
      <alignment horizontal="center"/>
    </xf>
    <xf numFmtId="0" fontId="47" fillId="0" borderId="0" xfId="0" applyFont="1" applyAlignment="1">
      <alignment horizontal="center"/>
    </xf>
    <xf numFmtId="0" fontId="47" fillId="0" borderId="43" xfId="0" applyFont="1" applyBorder="1" applyAlignment="1">
      <alignment horizontal="center"/>
    </xf>
    <xf numFmtId="0" fontId="47" fillId="0" borderId="44" xfId="0" applyFont="1" applyBorder="1" applyAlignment="1">
      <alignment horizontal="center"/>
    </xf>
    <xf numFmtId="0" fontId="47" fillId="0" borderId="45" xfId="0" applyFont="1" applyBorder="1" applyAlignment="1">
      <alignment horizontal="center"/>
    </xf>
    <xf numFmtId="0" fontId="47" fillId="0" borderId="44" xfId="0" applyFont="1" applyBorder="1" applyAlignment="1"/>
    <xf numFmtId="0" fontId="47" fillId="0" borderId="45" xfId="0" applyFont="1" applyBorder="1" applyAlignment="1"/>
    <xf numFmtId="0" fontId="40" fillId="12" borderId="35" xfId="32" applyAlignment="1" applyProtection="1">
      <alignment horizontal="center"/>
      <protection locked="0"/>
    </xf>
    <xf numFmtId="0" fontId="40" fillId="12" borderId="75" xfId="32" applyBorder="1" applyAlignment="1" applyProtection="1">
      <alignment horizontal="center"/>
      <protection locked="0"/>
    </xf>
    <xf numFmtId="0" fontId="40" fillId="12" borderId="56" xfId="32" applyBorder="1" applyAlignment="1" applyProtection="1">
      <alignment horizontal="center"/>
      <protection locked="0"/>
    </xf>
    <xf numFmtId="0" fontId="40" fillId="12" borderId="35" xfId="32" applyAlignment="1" applyProtection="1">
      <alignment horizontal="center" wrapText="1"/>
      <protection locked="0"/>
    </xf>
    <xf numFmtId="0" fontId="0" fillId="0" borderId="0" xfId="0" applyBorder="1" applyAlignment="1">
      <alignment horizontal="left" vertical="top"/>
    </xf>
    <xf numFmtId="0" fontId="32" fillId="0" borderId="0" xfId="0" applyFont="1" applyAlignment="1">
      <alignment horizontal="left" vertical="top" wrapText="1"/>
    </xf>
    <xf numFmtId="14" fontId="32" fillId="0" borderId="3" xfId="0" applyNumberFormat="1" applyFont="1" applyBorder="1" applyAlignment="1">
      <alignment horizontal="center"/>
    </xf>
    <xf numFmtId="0" fontId="32" fillId="0" borderId="3" xfId="0" applyFont="1" applyBorder="1" applyAlignment="1">
      <alignment horizontal="center"/>
    </xf>
    <xf numFmtId="0" fontId="32" fillId="0" borderId="3" xfId="0" applyFont="1" applyBorder="1" applyAlignment="1">
      <alignment horizontal="center" vertical="center"/>
    </xf>
  </cellXfs>
  <cellStyles count="76">
    <cellStyle name="20% - Accent1" xfId="41" builtinId="30" customBuiltin="1"/>
    <cellStyle name="20% - Accent2" xfId="45" builtinId="34" customBuiltin="1"/>
    <cellStyle name="20% - Accent3" xfId="49" builtinId="38" customBuiltin="1"/>
    <cellStyle name="20% - Accent4" xfId="53" builtinId="42" customBuiltin="1"/>
    <cellStyle name="20% - Accent5" xfId="57" builtinId="46" customBuiltin="1"/>
    <cellStyle name="20% - Accent6" xfId="61" builtinId="50" customBuiltin="1"/>
    <cellStyle name="40% - Accent1" xfId="42" builtinId="31" customBuiltin="1"/>
    <cellStyle name="40% - Accent2" xfId="46" builtinId="35" customBuiltin="1"/>
    <cellStyle name="40% - Accent3" xfId="50" builtinId="39" customBuiltin="1"/>
    <cellStyle name="40% - Accent4" xfId="54" builtinId="43" customBuiltin="1"/>
    <cellStyle name="40% - Accent5" xfId="58" builtinId="47" customBuiltin="1"/>
    <cellStyle name="40% - Accent6" xfId="62" builtinId="51" customBuiltin="1"/>
    <cellStyle name="60% - Accent1" xfId="43" builtinId="32" customBuiltin="1"/>
    <cellStyle name="60% - Accent2" xfId="47" builtinId="36" customBuiltin="1"/>
    <cellStyle name="60% - Accent3" xfId="51" builtinId="40" customBuiltin="1"/>
    <cellStyle name="60% - Accent4" xfId="55" builtinId="44" customBuiltin="1"/>
    <cellStyle name="60% - Accent5" xfId="59" builtinId="48" customBuiltin="1"/>
    <cellStyle name="60% - Accent6" xfId="63" builtinId="52" customBuiltin="1"/>
    <cellStyle name="Accent1" xfId="40" builtinId="29" customBuiltin="1"/>
    <cellStyle name="Accent2" xfId="44" builtinId="33" customBuiltin="1"/>
    <cellStyle name="Accent3" xfId="48" builtinId="37" customBuiltin="1"/>
    <cellStyle name="Accent4" xfId="52" builtinId="41" customBuiltin="1"/>
    <cellStyle name="Accent5" xfId="56" builtinId="45" customBuiltin="1"/>
    <cellStyle name="Accent6" xfId="60" builtinId="49" customBuiltin="1"/>
    <cellStyle name="Bad" xfId="30" builtinId="27" customBuiltin="1"/>
    <cellStyle name="Calculation" xfId="34" builtinId="22" customBuiltin="1"/>
    <cellStyle name="Check Cell" xfId="36" builtinId="23" customBuiltin="1"/>
    <cellStyle name="Comma" xfId="23" builtinId="3"/>
    <cellStyle name="Comma 2" xfId="1"/>
    <cellStyle name="Comma 2 2" xfId="2"/>
    <cellStyle name="Comma 2 3" xfId="3"/>
    <cellStyle name="Comma 2 4" xfId="4"/>
    <cellStyle name="Comma 3" xfId="69"/>
    <cellStyle name="Comma 4" xfId="74"/>
    <cellStyle name="Currency 2" xfId="71"/>
    <cellStyle name="Explanatory Text" xfId="38" builtinId="53" customBuiltin="1"/>
    <cellStyle name="Good" xfId="29" builtinId="26" customBuiltin="1"/>
    <cellStyle name="Heading 1" xfId="25" builtinId="16" customBuiltin="1"/>
    <cellStyle name="Heading 2" xfId="26" builtinId="17" customBuiltin="1"/>
    <cellStyle name="Heading 3" xfId="27" builtinId="18" customBuiltin="1"/>
    <cellStyle name="Heading 4" xfId="28" builtinId="19" customBuiltin="1"/>
    <cellStyle name="Hyperlink" xfId="22" builtinId="8"/>
    <cellStyle name="Input" xfId="32" builtinId="20" customBuiltin="1"/>
    <cellStyle name="Linked Cell" xfId="35" builtinId="24" customBuiltin="1"/>
    <cellStyle name="Neutral" xfId="31" builtinId="28" customBuiltin="1"/>
    <cellStyle name="Normal" xfId="0" builtinId="0"/>
    <cellStyle name="Normal 2" xfId="5"/>
    <cellStyle name="Normal 2 2" xfId="6"/>
    <cellStyle name="Normal 2 2 2" xfId="7"/>
    <cellStyle name="Normal 2 3" xfId="8"/>
    <cellStyle name="Normal 2 4" xfId="9"/>
    <cellStyle name="Normal 2 5" xfId="70"/>
    <cellStyle name="Normal 3" xfId="10"/>
    <cellStyle name="Normal 4" xfId="21"/>
    <cellStyle name="Normal 4 2" xfId="11"/>
    <cellStyle name="Normal 4 2 2" xfId="64"/>
    <cellStyle name="Normal 4 3" xfId="12"/>
    <cellStyle name="Normal 4 3 2" xfId="65"/>
    <cellStyle name="Normal 4 4" xfId="67"/>
    <cellStyle name="Normal 5" xfId="13"/>
    <cellStyle name="Normal 5 2" xfId="14"/>
    <cellStyle name="Normal 5 3" xfId="15"/>
    <cellStyle name="Normal 5 4" xfId="66"/>
    <cellStyle name="Normal 6" xfId="68"/>
    <cellStyle name="Normal 7" xfId="72"/>
    <cellStyle name="Normal 8" xfId="73"/>
    <cellStyle name="Note 2" xfId="75"/>
    <cellStyle name="Output" xfId="33" builtinId="21" customBuiltin="1"/>
    <cellStyle name="Percent 2" xfId="16"/>
    <cellStyle name="Percent 2 2" xfId="17"/>
    <cellStyle name="Percent 2 3" xfId="18"/>
    <cellStyle name="Percent 2 4" xfId="19"/>
    <cellStyle name="Percent 2 5" xfId="20"/>
    <cellStyle name="Title" xfId="24" builtinId="15" customBuiltin="1"/>
    <cellStyle name="Total" xfId="39" builtinId="25" customBuiltin="1"/>
    <cellStyle name="Warning Text" xfId="37" builtinId="11" customBuiltin="1"/>
  </cellStyles>
  <dxfs count="2">
    <dxf>
      <font>
        <b/>
        <i val="0"/>
        <color rgb="FFFF0000"/>
      </font>
    </dxf>
    <dxf>
      <font>
        <b/>
        <i val="0"/>
        <color rgb="FFFF000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133350</xdr:rowOff>
    </xdr:from>
    <xdr:to>
      <xdr:col>1</xdr:col>
      <xdr:colOff>104775</xdr:colOff>
      <xdr:row>0</xdr:row>
      <xdr:rowOff>933450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33350"/>
          <a:ext cx="12096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114300</xdr:colOff>
          <xdr:row>12</xdr:row>
          <xdr:rowOff>57150</xdr:rowOff>
        </xdr:from>
        <xdr:to>
          <xdr:col>0</xdr:col>
          <xdr:colOff>304800</xdr:colOff>
          <xdr:row>14</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15</xdr:row>
          <xdr:rowOff>161925</xdr:rowOff>
        </xdr:from>
        <xdr:to>
          <xdr:col>0</xdr:col>
          <xdr:colOff>295275</xdr:colOff>
          <xdr:row>16</xdr:row>
          <xdr:rowOff>123825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xdr:row>
          <xdr:rowOff>133350</xdr:rowOff>
        </xdr:from>
        <xdr:to>
          <xdr:col>0</xdr:col>
          <xdr:colOff>295275</xdr:colOff>
          <xdr:row>15</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xdr:row>
          <xdr:rowOff>142875</xdr:rowOff>
        </xdr:from>
        <xdr:to>
          <xdr:col>0</xdr:col>
          <xdr:colOff>285750</xdr:colOff>
          <xdr:row>14</xdr:row>
          <xdr:rowOff>161925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12</xdr:row>
          <xdr:rowOff>57150</xdr:rowOff>
        </xdr:from>
        <xdr:to>
          <xdr:col>3</xdr:col>
          <xdr:colOff>819150</xdr:colOff>
          <xdr:row>14</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13</xdr:row>
          <xdr:rowOff>152400</xdr:rowOff>
        </xdr:from>
        <xdr:to>
          <xdr:col>3</xdr:col>
          <xdr:colOff>819150</xdr:colOff>
          <xdr:row>15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14</xdr:row>
          <xdr:rowOff>152400</xdr:rowOff>
        </xdr:from>
        <xdr:to>
          <xdr:col>3</xdr:col>
          <xdr:colOff>819150</xdr:colOff>
          <xdr:row>16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15</xdr:row>
          <xdr:rowOff>152400</xdr:rowOff>
        </xdr:from>
        <xdr:to>
          <xdr:col>3</xdr:col>
          <xdr:colOff>819150</xdr:colOff>
          <xdr:row>17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8</xdr:row>
          <xdr:rowOff>9525</xdr:rowOff>
        </xdr:from>
        <xdr:to>
          <xdr:col>3</xdr:col>
          <xdr:colOff>381000</xdr:colOff>
          <xdr:row>9</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9525</xdr:rowOff>
        </xdr:from>
        <xdr:to>
          <xdr:col>3</xdr:col>
          <xdr:colOff>381000</xdr:colOff>
          <xdr:row>10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9525</xdr:rowOff>
        </xdr:from>
        <xdr:to>
          <xdr:col>3</xdr:col>
          <xdr:colOff>381000</xdr:colOff>
          <xdr:row>11</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9525</xdr:rowOff>
        </xdr:from>
        <xdr:to>
          <xdr:col>3</xdr:col>
          <xdr:colOff>381000</xdr:colOff>
          <xdr:row>12</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9525</xdr:rowOff>
        </xdr:from>
        <xdr:to>
          <xdr:col>3</xdr:col>
          <xdr:colOff>381000</xdr:colOff>
          <xdr:row>13</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381000</xdr:colOff>
          <xdr:row>14</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381000</xdr:colOff>
          <xdr:row>15</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9525</xdr:rowOff>
        </xdr:from>
        <xdr:to>
          <xdr:col>3</xdr:col>
          <xdr:colOff>381000</xdr:colOff>
          <xdr:row>16</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9525</xdr:rowOff>
        </xdr:from>
        <xdr:to>
          <xdr:col>3</xdr:col>
          <xdr:colOff>381000</xdr:colOff>
          <xdr:row>17</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9525</xdr:rowOff>
        </xdr:from>
        <xdr:to>
          <xdr:col>3</xdr:col>
          <xdr:colOff>381000</xdr:colOff>
          <xdr:row>18</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9525</xdr:rowOff>
        </xdr:from>
        <xdr:to>
          <xdr:col>3</xdr:col>
          <xdr:colOff>381000</xdr:colOff>
          <xdr:row>19</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9525</xdr:rowOff>
        </xdr:from>
        <xdr:to>
          <xdr:col>3</xdr:col>
          <xdr:colOff>381000</xdr:colOff>
          <xdr:row>20</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9525</xdr:rowOff>
        </xdr:from>
        <xdr:to>
          <xdr:col>3</xdr:col>
          <xdr:colOff>381000</xdr:colOff>
          <xdr:row>21</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9525</xdr:rowOff>
        </xdr:from>
        <xdr:to>
          <xdr:col>3</xdr:col>
          <xdr:colOff>381000</xdr:colOff>
          <xdr:row>22</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9525</xdr:rowOff>
        </xdr:from>
        <xdr:to>
          <xdr:col>3</xdr:col>
          <xdr:colOff>381000</xdr:colOff>
          <xdr:row>23</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9525</xdr:rowOff>
        </xdr:from>
        <xdr:to>
          <xdr:col>3</xdr:col>
          <xdr:colOff>381000</xdr:colOff>
          <xdr:row>24</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9525</xdr:rowOff>
        </xdr:from>
        <xdr:to>
          <xdr:col>3</xdr:col>
          <xdr:colOff>381000</xdr:colOff>
          <xdr:row>25</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9525</xdr:rowOff>
        </xdr:from>
        <xdr:to>
          <xdr:col>3</xdr:col>
          <xdr:colOff>381000</xdr:colOff>
          <xdr:row>26</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9525</xdr:rowOff>
        </xdr:from>
        <xdr:to>
          <xdr:col>3</xdr:col>
          <xdr:colOff>381000</xdr:colOff>
          <xdr:row>27</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9525</xdr:rowOff>
        </xdr:from>
        <xdr:to>
          <xdr:col>3</xdr:col>
          <xdr:colOff>381000</xdr:colOff>
          <xdr:row>28</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9525</xdr:rowOff>
        </xdr:from>
        <xdr:to>
          <xdr:col>3</xdr:col>
          <xdr:colOff>381000</xdr:colOff>
          <xdr:row>8</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xdr:row>
          <xdr:rowOff>47625</xdr:rowOff>
        </xdr:from>
        <xdr:to>
          <xdr:col>3</xdr:col>
          <xdr:colOff>428625</xdr:colOff>
          <xdr:row>6</xdr:row>
          <xdr:rowOff>342900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5</xdr:row>
          <xdr:rowOff>76200</xdr:rowOff>
        </xdr:from>
        <xdr:to>
          <xdr:col>1</xdr:col>
          <xdr:colOff>485775</xdr:colOff>
          <xdr:row>5</xdr:row>
          <xdr:rowOff>295275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76200</xdr:rowOff>
        </xdr:from>
        <xdr:to>
          <xdr:col>1</xdr:col>
          <xdr:colOff>485775</xdr:colOff>
          <xdr:row>7</xdr:row>
          <xdr:rowOff>295275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16</xdr:row>
          <xdr:rowOff>152400</xdr:rowOff>
        </xdr:from>
        <xdr:to>
          <xdr:col>1</xdr:col>
          <xdr:colOff>485775</xdr:colOff>
          <xdr:row>18</xdr:row>
          <xdr:rowOff>66675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lants.usda.gov/npk/mai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D42"/>
  <sheetViews>
    <sheetView tabSelected="1" zoomScaleNormal="100" zoomScaleSheetLayoutView="100" workbookViewId="0">
      <selection activeCell="G2" sqref="G2"/>
    </sheetView>
  </sheetViews>
  <sheetFormatPr defaultRowHeight="12.75"/>
  <cols>
    <col min="1" max="1" width="16.85546875" style="1" customWidth="1"/>
    <col min="2" max="2" width="9.140625" style="1"/>
    <col min="3" max="3" width="11.85546875" style="1" customWidth="1"/>
    <col min="4" max="4" width="12.5703125" style="1" customWidth="1"/>
    <col min="5" max="5" width="12.7109375" style="1" customWidth="1"/>
    <col min="6" max="6" width="10.28515625" style="1" customWidth="1"/>
    <col min="7" max="7" width="10.85546875" style="1" customWidth="1"/>
    <col min="8" max="8" width="13.5703125" style="1" customWidth="1"/>
    <col min="9" max="9" width="3.42578125" style="1" customWidth="1"/>
    <col min="10" max="256" width="9.140625" style="1"/>
    <col min="257" max="257" width="16.85546875" style="1" customWidth="1"/>
    <col min="258" max="258" width="9.140625" style="1"/>
    <col min="259" max="259" width="11.85546875" style="1" customWidth="1"/>
    <col min="260" max="260" width="12.5703125" style="1" customWidth="1"/>
    <col min="261" max="261" width="12.7109375" style="1" customWidth="1"/>
    <col min="262" max="262" width="10.28515625" style="1" customWidth="1"/>
    <col min="263" max="263" width="10.85546875" style="1" customWidth="1"/>
    <col min="264" max="264" width="13.5703125" style="1" customWidth="1"/>
    <col min="265" max="265" width="3.42578125" style="1" customWidth="1"/>
    <col min="266" max="512" width="9.140625" style="1"/>
    <col min="513" max="513" width="16.85546875" style="1" customWidth="1"/>
    <col min="514" max="514" width="9.140625" style="1"/>
    <col min="515" max="515" width="11.85546875" style="1" customWidth="1"/>
    <col min="516" max="516" width="12.5703125" style="1" customWidth="1"/>
    <col min="517" max="517" width="12.7109375" style="1" customWidth="1"/>
    <col min="518" max="518" width="10.28515625" style="1" customWidth="1"/>
    <col min="519" max="519" width="10.85546875" style="1" customWidth="1"/>
    <col min="520" max="520" width="13.5703125" style="1" customWidth="1"/>
    <col min="521" max="521" width="3.42578125" style="1" customWidth="1"/>
    <col min="522" max="768" width="9.140625" style="1"/>
    <col min="769" max="769" width="16.85546875" style="1" customWidth="1"/>
    <col min="770" max="770" width="9.140625" style="1"/>
    <col min="771" max="771" width="11.85546875" style="1" customWidth="1"/>
    <col min="772" max="772" width="12.5703125" style="1" customWidth="1"/>
    <col min="773" max="773" width="12.7109375" style="1" customWidth="1"/>
    <col min="774" max="774" width="10.28515625" style="1" customWidth="1"/>
    <col min="775" max="775" width="10.85546875" style="1" customWidth="1"/>
    <col min="776" max="776" width="13.5703125" style="1" customWidth="1"/>
    <col min="777" max="777" width="3.42578125" style="1" customWidth="1"/>
    <col min="778" max="1024" width="9.140625" style="1"/>
    <col min="1025" max="1025" width="16.85546875" style="1" customWidth="1"/>
    <col min="1026" max="1026" width="9.140625" style="1"/>
    <col min="1027" max="1027" width="11.85546875" style="1" customWidth="1"/>
    <col min="1028" max="1028" width="12.5703125" style="1" customWidth="1"/>
    <col min="1029" max="1029" width="12.7109375" style="1" customWidth="1"/>
    <col min="1030" max="1030" width="10.28515625" style="1" customWidth="1"/>
    <col min="1031" max="1031" width="10.85546875" style="1" customWidth="1"/>
    <col min="1032" max="1032" width="13.5703125" style="1" customWidth="1"/>
    <col min="1033" max="1033" width="3.42578125" style="1" customWidth="1"/>
    <col min="1034" max="1280" width="9.140625" style="1"/>
    <col min="1281" max="1281" width="16.85546875" style="1" customWidth="1"/>
    <col min="1282" max="1282" width="9.140625" style="1"/>
    <col min="1283" max="1283" width="11.85546875" style="1" customWidth="1"/>
    <col min="1284" max="1284" width="12.5703125" style="1" customWidth="1"/>
    <col min="1285" max="1285" width="12.7109375" style="1" customWidth="1"/>
    <col min="1286" max="1286" width="10.28515625" style="1" customWidth="1"/>
    <col min="1287" max="1287" width="10.85546875" style="1" customWidth="1"/>
    <col min="1288" max="1288" width="13.5703125" style="1" customWidth="1"/>
    <col min="1289" max="1289" width="3.42578125" style="1" customWidth="1"/>
    <col min="1290" max="1536" width="9.140625" style="1"/>
    <col min="1537" max="1537" width="16.85546875" style="1" customWidth="1"/>
    <col min="1538" max="1538" width="9.140625" style="1"/>
    <col min="1539" max="1539" width="11.85546875" style="1" customWidth="1"/>
    <col min="1540" max="1540" width="12.5703125" style="1" customWidth="1"/>
    <col min="1541" max="1541" width="12.7109375" style="1" customWidth="1"/>
    <col min="1542" max="1542" width="10.28515625" style="1" customWidth="1"/>
    <col min="1543" max="1543" width="10.85546875" style="1" customWidth="1"/>
    <col min="1544" max="1544" width="13.5703125" style="1" customWidth="1"/>
    <col min="1545" max="1545" width="3.42578125" style="1" customWidth="1"/>
    <col min="1546" max="1792" width="9.140625" style="1"/>
    <col min="1793" max="1793" width="16.85546875" style="1" customWidth="1"/>
    <col min="1794" max="1794" width="9.140625" style="1"/>
    <col min="1795" max="1795" width="11.85546875" style="1" customWidth="1"/>
    <col min="1796" max="1796" width="12.5703125" style="1" customWidth="1"/>
    <col min="1797" max="1797" width="12.7109375" style="1" customWidth="1"/>
    <col min="1798" max="1798" width="10.28515625" style="1" customWidth="1"/>
    <col min="1799" max="1799" width="10.85546875" style="1" customWidth="1"/>
    <col min="1800" max="1800" width="13.5703125" style="1" customWidth="1"/>
    <col min="1801" max="1801" width="3.42578125" style="1" customWidth="1"/>
    <col min="1802" max="2048" width="9.140625" style="1"/>
    <col min="2049" max="2049" width="16.85546875" style="1" customWidth="1"/>
    <col min="2050" max="2050" width="9.140625" style="1"/>
    <col min="2051" max="2051" width="11.85546875" style="1" customWidth="1"/>
    <col min="2052" max="2052" width="12.5703125" style="1" customWidth="1"/>
    <col min="2053" max="2053" width="12.7109375" style="1" customWidth="1"/>
    <col min="2054" max="2054" width="10.28515625" style="1" customWidth="1"/>
    <col min="2055" max="2055" width="10.85546875" style="1" customWidth="1"/>
    <col min="2056" max="2056" width="13.5703125" style="1" customWidth="1"/>
    <col min="2057" max="2057" width="3.42578125" style="1" customWidth="1"/>
    <col min="2058" max="2304" width="9.140625" style="1"/>
    <col min="2305" max="2305" width="16.85546875" style="1" customWidth="1"/>
    <col min="2306" max="2306" width="9.140625" style="1"/>
    <col min="2307" max="2307" width="11.85546875" style="1" customWidth="1"/>
    <col min="2308" max="2308" width="12.5703125" style="1" customWidth="1"/>
    <col min="2309" max="2309" width="12.7109375" style="1" customWidth="1"/>
    <col min="2310" max="2310" width="10.28515625" style="1" customWidth="1"/>
    <col min="2311" max="2311" width="10.85546875" style="1" customWidth="1"/>
    <col min="2312" max="2312" width="13.5703125" style="1" customWidth="1"/>
    <col min="2313" max="2313" width="3.42578125" style="1" customWidth="1"/>
    <col min="2314" max="2560" width="9.140625" style="1"/>
    <col min="2561" max="2561" width="16.85546875" style="1" customWidth="1"/>
    <col min="2562" max="2562" width="9.140625" style="1"/>
    <col min="2563" max="2563" width="11.85546875" style="1" customWidth="1"/>
    <col min="2564" max="2564" width="12.5703125" style="1" customWidth="1"/>
    <col min="2565" max="2565" width="12.7109375" style="1" customWidth="1"/>
    <col min="2566" max="2566" width="10.28515625" style="1" customWidth="1"/>
    <col min="2567" max="2567" width="10.85546875" style="1" customWidth="1"/>
    <col min="2568" max="2568" width="13.5703125" style="1" customWidth="1"/>
    <col min="2569" max="2569" width="3.42578125" style="1" customWidth="1"/>
    <col min="2570" max="2816" width="9.140625" style="1"/>
    <col min="2817" max="2817" width="16.85546875" style="1" customWidth="1"/>
    <col min="2818" max="2818" width="9.140625" style="1"/>
    <col min="2819" max="2819" width="11.85546875" style="1" customWidth="1"/>
    <col min="2820" max="2820" width="12.5703125" style="1" customWidth="1"/>
    <col min="2821" max="2821" width="12.7109375" style="1" customWidth="1"/>
    <col min="2822" max="2822" width="10.28515625" style="1" customWidth="1"/>
    <col min="2823" max="2823" width="10.85546875" style="1" customWidth="1"/>
    <col min="2824" max="2824" width="13.5703125" style="1" customWidth="1"/>
    <col min="2825" max="2825" width="3.42578125" style="1" customWidth="1"/>
    <col min="2826" max="3072" width="9.140625" style="1"/>
    <col min="3073" max="3073" width="16.85546875" style="1" customWidth="1"/>
    <col min="3074" max="3074" width="9.140625" style="1"/>
    <col min="3075" max="3075" width="11.85546875" style="1" customWidth="1"/>
    <col min="3076" max="3076" width="12.5703125" style="1" customWidth="1"/>
    <col min="3077" max="3077" width="12.7109375" style="1" customWidth="1"/>
    <col min="3078" max="3078" width="10.28515625" style="1" customWidth="1"/>
    <col min="3079" max="3079" width="10.85546875" style="1" customWidth="1"/>
    <col min="3080" max="3080" width="13.5703125" style="1" customWidth="1"/>
    <col min="3081" max="3081" width="3.42578125" style="1" customWidth="1"/>
    <col min="3082" max="3328" width="9.140625" style="1"/>
    <col min="3329" max="3329" width="16.85546875" style="1" customWidth="1"/>
    <col min="3330" max="3330" width="9.140625" style="1"/>
    <col min="3331" max="3331" width="11.85546875" style="1" customWidth="1"/>
    <col min="3332" max="3332" width="12.5703125" style="1" customWidth="1"/>
    <col min="3333" max="3333" width="12.7109375" style="1" customWidth="1"/>
    <col min="3334" max="3334" width="10.28515625" style="1" customWidth="1"/>
    <col min="3335" max="3335" width="10.85546875" style="1" customWidth="1"/>
    <col min="3336" max="3336" width="13.5703125" style="1" customWidth="1"/>
    <col min="3337" max="3337" width="3.42578125" style="1" customWidth="1"/>
    <col min="3338" max="3584" width="9.140625" style="1"/>
    <col min="3585" max="3585" width="16.85546875" style="1" customWidth="1"/>
    <col min="3586" max="3586" width="9.140625" style="1"/>
    <col min="3587" max="3587" width="11.85546875" style="1" customWidth="1"/>
    <col min="3588" max="3588" width="12.5703125" style="1" customWidth="1"/>
    <col min="3589" max="3589" width="12.7109375" style="1" customWidth="1"/>
    <col min="3590" max="3590" width="10.28515625" style="1" customWidth="1"/>
    <col min="3591" max="3591" width="10.85546875" style="1" customWidth="1"/>
    <col min="3592" max="3592" width="13.5703125" style="1" customWidth="1"/>
    <col min="3593" max="3593" width="3.42578125" style="1" customWidth="1"/>
    <col min="3594" max="3840" width="9.140625" style="1"/>
    <col min="3841" max="3841" width="16.85546875" style="1" customWidth="1"/>
    <col min="3842" max="3842" width="9.140625" style="1"/>
    <col min="3843" max="3843" width="11.85546875" style="1" customWidth="1"/>
    <col min="3844" max="3844" width="12.5703125" style="1" customWidth="1"/>
    <col min="3845" max="3845" width="12.7109375" style="1" customWidth="1"/>
    <col min="3846" max="3846" width="10.28515625" style="1" customWidth="1"/>
    <col min="3847" max="3847" width="10.85546875" style="1" customWidth="1"/>
    <col min="3848" max="3848" width="13.5703125" style="1" customWidth="1"/>
    <col min="3849" max="3849" width="3.42578125" style="1" customWidth="1"/>
    <col min="3850" max="4096" width="9.140625" style="1"/>
    <col min="4097" max="4097" width="16.85546875" style="1" customWidth="1"/>
    <col min="4098" max="4098" width="9.140625" style="1"/>
    <col min="4099" max="4099" width="11.85546875" style="1" customWidth="1"/>
    <col min="4100" max="4100" width="12.5703125" style="1" customWidth="1"/>
    <col min="4101" max="4101" width="12.7109375" style="1" customWidth="1"/>
    <col min="4102" max="4102" width="10.28515625" style="1" customWidth="1"/>
    <col min="4103" max="4103" width="10.85546875" style="1" customWidth="1"/>
    <col min="4104" max="4104" width="13.5703125" style="1" customWidth="1"/>
    <col min="4105" max="4105" width="3.42578125" style="1" customWidth="1"/>
    <col min="4106" max="4352" width="9.140625" style="1"/>
    <col min="4353" max="4353" width="16.85546875" style="1" customWidth="1"/>
    <col min="4354" max="4354" width="9.140625" style="1"/>
    <col min="4355" max="4355" width="11.85546875" style="1" customWidth="1"/>
    <col min="4356" max="4356" width="12.5703125" style="1" customWidth="1"/>
    <col min="4357" max="4357" width="12.7109375" style="1" customWidth="1"/>
    <col min="4358" max="4358" width="10.28515625" style="1" customWidth="1"/>
    <col min="4359" max="4359" width="10.85546875" style="1" customWidth="1"/>
    <col min="4360" max="4360" width="13.5703125" style="1" customWidth="1"/>
    <col min="4361" max="4361" width="3.42578125" style="1" customWidth="1"/>
    <col min="4362" max="4608" width="9.140625" style="1"/>
    <col min="4609" max="4609" width="16.85546875" style="1" customWidth="1"/>
    <col min="4610" max="4610" width="9.140625" style="1"/>
    <col min="4611" max="4611" width="11.85546875" style="1" customWidth="1"/>
    <col min="4612" max="4612" width="12.5703125" style="1" customWidth="1"/>
    <col min="4613" max="4613" width="12.7109375" style="1" customWidth="1"/>
    <col min="4614" max="4614" width="10.28515625" style="1" customWidth="1"/>
    <col min="4615" max="4615" width="10.85546875" style="1" customWidth="1"/>
    <col min="4616" max="4616" width="13.5703125" style="1" customWidth="1"/>
    <col min="4617" max="4617" width="3.42578125" style="1" customWidth="1"/>
    <col min="4618" max="4864" width="9.140625" style="1"/>
    <col min="4865" max="4865" width="16.85546875" style="1" customWidth="1"/>
    <col min="4866" max="4866" width="9.140625" style="1"/>
    <col min="4867" max="4867" width="11.85546875" style="1" customWidth="1"/>
    <col min="4868" max="4868" width="12.5703125" style="1" customWidth="1"/>
    <col min="4869" max="4869" width="12.7109375" style="1" customWidth="1"/>
    <col min="4870" max="4870" width="10.28515625" style="1" customWidth="1"/>
    <col min="4871" max="4871" width="10.85546875" style="1" customWidth="1"/>
    <col min="4872" max="4872" width="13.5703125" style="1" customWidth="1"/>
    <col min="4873" max="4873" width="3.42578125" style="1" customWidth="1"/>
    <col min="4874" max="5120" width="9.140625" style="1"/>
    <col min="5121" max="5121" width="16.85546875" style="1" customWidth="1"/>
    <col min="5122" max="5122" width="9.140625" style="1"/>
    <col min="5123" max="5123" width="11.85546875" style="1" customWidth="1"/>
    <col min="5124" max="5124" width="12.5703125" style="1" customWidth="1"/>
    <col min="5125" max="5125" width="12.7109375" style="1" customWidth="1"/>
    <col min="5126" max="5126" width="10.28515625" style="1" customWidth="1"/>
    <col min="5127" max="5127" width="10.85546875" style="1" customWidth="1"/>
    <col min="5128" max="5128" width="13.5703125" style="1" customWidth="1"/>
    <col min="5129" max="5129" width="3.42578125" style="1" customWidth="1"/>
    <col min="5130" max="5376" width="9.140625" style="1"/>
    <col min="5377" max="5377" width="16.85546875" style="1" customWidth="1"/>
    <col min="5378" max="5378" width="9.140625" style="1"/>
    <col min="5379" max="5379" width="11.85546875" style="1" customWidth="1"/>
    <col min="5380" max="5380" width="12.5703125" style="1" customWidth="1"/>
    <col min="5381" max="5381" width="12.7109375" style="1" customWidth="1"/>
    <col min="5382" max="5382" width="10.28515625" style="1" customWidth="1"/>
    <col min="5383" max="5383" width="10.85546875" style="1" customWidth="1"/>
    <col min="5384" max="5384" width="13.5703125" style="1" customWidth="1"/>
    <col min="5385" max="5385" width="3.42578125" style="1" customWidth="1"/>
    <col min="5386" max="5632" width="9.140625" style="1"/>
    <col min="5633" max="5633" width="16.85546875" style="1" customWidth="1"/>
    <col min="5634" max="5634" width="9.140625" style="1"/>
    <col min="5635" max="5635" width="11.85546875" style="1" customWidth="1"/>
    <col min="5636" max="5636" width="12.5703125" style="1" customWidth="1"/>
    <col min="5637" max="5637" width="12.7109375" style="1" customWidth="1"/>
    <col min="5638" max="5638" width="10.28515625" style="1" customWidth="1"/>
    <col min="5639" max="5639" width="10.85546875" style="1" customWidth="1"/>
    <col min="5640" max="5640" width="13.5703125" style="1" customWidth="1"/>
    <col min="5641" max="5641" width="3.42578125" style="1" customWidth="1"/>
    <col min="5642" max="5888" width="9.140625" style="1"/>
    <col min="5889" max="5889" width="16.85546875" style="1" customWidth="1"/>
    <col min="5890" max="5890" width="9.140625" style="1"/>
    <col min="5891" max="5891" width="11.85546875" style="1" customWidth="1"/>
    <col min="5892" max="5892" width="12.5703125" style="1" customWidth="1"/>
    <col min="5893" max="5893" width="12.7109375" style="1" customWidth="1"/>
    <col min="5894" max="5894" width="10.28515625" style="1" customWidth="1"/>
    <col min="5895" max="5895" width="10.85546875" style="1" customWidth="1"/>
    <col min="5896" max="5896" width="13.5703125" style="1" customWidth="1"/>
    <col min="5897" max="5897" width="3.42578125" style="1" customWidth="1"/>
    <col min="5898" max="6144" width="9.140625" style="1"/>
    <col min="6145" max="6145" width="16.85546875" style="1" customWidth="1"/>
    <col min="6146" max="6146" width="9.140625" style="1"/>
    <col min="6147" max="6147" width="11.85546875" style="1" customWidth="1"/>
    <col min="6148" max="6148" width="12.5703125" style="1" customWidth="1"/>
    <col min="6149" max="6149" width="12.7109375" style="1" customWidth="1"/>
    <col min="6150" max="6150" width="10.28515625" style="1" customWidth="1"/>
    <col min="6151" max="6151" width="10.85546875" style="1" customWidth="1"/>
    <col min="6152" max="6152" width="13.5703125" style="1" customWidth="1"/>
    <col min="6153" max="6153" width="3.42578125" style="1" customWidth="1"/>
    <col min="6154" max="6400" width="9.140625" style="1"/>
    <col min="6401" max="6401" width="16.85546875" style="1" customWidth="1"/>
    <col min="6402" max="6402" width="9.140625" style="1"/>
    <col min="6403" max="6403" width="11.85546875" style="1" customWidth="1"/>
    <col min="6404" max="6404" width="12.5703125" style="1" customWidth="1"/>
    <col min="6405" max="6405" width="12.7109375" style="1" customWidth="1"/>
    <col min="6406" max="6406" width="10.28515625" style="1" customWidth="1"/>
    <col min="6407" max="6407" width="10.85546875" style="1" customWidth="1"/>
    <col min="6408" max="6408" width="13.5703125" style="1" customWidth="1"/>
    <col min="6409" max="6409" width="3.42578125" style="1" customWidth="1"/>
    <col min="6410" max="6656" width="9.140625" style="1"/>
    <col min="6657" max="6657" width="16.85546875" style="1" customWidth="1"/>
    <col min="6658" max="6658" width="9.140625" style="1"/>
    <col min="6659" max="6659" width="11.85546875" style="1" customWidth="1"/>
    <col min="6660" max="6660" width="12.5703125" style="1" customWidth="1"/>
    <col min="6661" max="6661" width="12.7109375" style="1" customWidth="1"/>
    <col min="6662" max="6662" width="10.28515625" style="1" customWidth="1"/>
    <col min="6663" max="6663" width="10.85546875" style="1" customWidth="1"/>
    <col min="6664" max="6664" width="13.5703125" style="1" customWidth="1"/>
    <col min="6665" max="6665" width="3.42578125" style="1" customWidth="1"/>
    <col min="6666" max="6912" width="9.140625" style="1"/>
    <col min="6913" max="6913" width="16.85546875" style="1" customWidth="1"/>
    <col min="6914" max="6914" width="9.140625" style="1"/>
    <col min="6915" max="6915" width="11.85546875" style="1" customWidth="1"/>
    <col min="6916" max="6916" width="12.5703125" style="1" customWidth="1"/>
    <col min="6917" max="6917" width="12.7109375" style="1" customWidth="1"/>
    <col min="6918" max="6918" width="10.28515625" style="1" customWidth="1"/>
    <col min="6919" max="6919" width="10.85546875" style="1" customWidth="1"/>
    <col min="6920" max="6920" width="13.5703125" style="1" customWidth="1"/>
    <col min="6921" max="6921" width="3.42578125" style="1" customWidth="1"/>
    <col min="6922" max="7168" width="9.140625" style="1"/>
    <col min="7169" max="7169" width="16.85546875" style="1" customWidth="1"/>
    <col min="7170" max="7170" width="9.140625" style="1"/>
    <col min="7171" max="7171" width="11.85546875" style="1" customWidth="1"/>
    <col min="7172" max="7172" width="12.5703125" style="1" customWidth="1"/>
    <col min="7173" max="7173" width="12.7109375" style="1" customWidth="1"/>
    <col min="7174" max="7174" width="10.28515625" style="1" customWidth="1"/>
    <col min="7175" max="7175" width="10.85546875" style="1" customWidth="1"/>
    <col min="7176" max="7176" width="13.5703125" style="1" customWidth="1"/>
    <col min="7177" max="7177" width="3.42578125" style="1" customWidth="1"/>
    <col min="7178" max="7424" width="9.140625" style="1"/>
    <col min="7425" max="7425" width="16.85546875" style="1" customWidth="1"/>
    <col min="7426" max="7426" width="9.140625" style="1"/>
    <col min="7427" max="7427" width="11.85546875" style="1" customWidth="1"/>
    <col min="7428" max="7428" width="12.5703125" style="1" customWidth="1"/>
    <col min="7429" max="7429" width="12.7109375" style="1" customWidth="1"/>
    <col min="7430" max="7430" width="10.28515625" style="1" customWidth="1"/>
    <col min="7431" max="7431" width="10.85546875" style="1" customWidth="1"/>
    <col min="7432" max="7432" width="13.5703125" style="1" customWidth="1"/>
    <col min="7433" max="7433" width="3.42578125" style="1" customWidth="1"/>
    <col min="7434" max="7680" width="9.140625" style="1"/>
    <col min="7681" max="7681" width="16.85546875" style="1" customWidth="1"/>
    <col min="7682" max="7682" width="9.140625" style="1"/>
    <col min="7683" max="7683" width="11.85546875" style="1" customWidth="1"/>
    <col min="7684" max="7684" width="12.5703125" style="1" customWidth="1"/>
    <col min="7685" max="7685" width="12.7109375" style="1" customWidth="1"/>
    <col min="7686" max="7686" width="10.28515625" style="1" customWidth="1"/>
    <col min="7687" max="7687" width="10.85546875" style="1" customWidth="1"/>
    <col min="7688" max="7688" width="13.5703125" style="1" customWidth="1"/>
    <col min="7689" max="7689" width="3.42578125" style="1" customWidth="1"/>
    <col min="7690" max="7936" width="9.140625" style="1"/>
    <col min="7937" max="7937" width="16.85546875" style="1" customWidth="1"/>
    <col min="7938" max="7938" width="9.140625" style="1"/>
    <col min="7939" max="7939" width="11.85546875" style="1" customWidth="1"/>
    <col min="7940" max="7940" width="12.5703125" style="1" customWidth="1"/>
    <col min="7941" max="7941" width="12.7109375" style="1" customWidth="1"/>
    <col min="7942" max="7942" width="10.28515625" style="1" customWidth="1"/>
    <col min="7943" max="7943" width="10.85546875" style="1" customWidth="1"/>
    <col min="7944" max="7944" width="13.5703125" style="1" customWidth="1"/>
    <col min="7945" max="7945" width="3.42578125" style="1" customWidth="1"/>
    <col min="7946" max="8192" width="9.140625" style="1"/>
    <col min="8193" max="8193" width="16.85546875" style="1" customWidth="1"/>
    <col min="8194" max="8194" width="9.140625" style="1"/>
    <col min="8195" max="8195" width="11.85546875" style="1" customWidth="1"/>
    <col min="8196" max="8196" width="12.5703125" style="1" customWidth="1"/>
    <col min="8197" max="8197" width="12.7109375" style="1" customWidth="1"/>
    <col min="8198" max="8198" width="10.28515625" style="1" customWidth="1"/>
    <col min="8199" max="8199" width="10.85546875" style="1" customWidth="1"/>
    <col min="8200" max="8200" width="13.5703125" style="1" customWidth="1"/>
    <col min="8201" max="8201" width="3.42578125" style="1" customWidth="1"/>
    <col min="8202" max="8448" width="9.140625" style="1"/>
    <col min="8449" max="8449" width="16.85546875" style="1" customWidth="1"/>
    <col min="8450" max="8450" width="9.140625" style="1"/>
    <col min="8451" max="8451" width="11.85546875" style="1" customWidth="1"/>
    <col min="8452" max="8452" width="12.5703125" style="1" customWidth="1"/>
    <col min="8453" max="8453" width="12.7109375" style="1" customWidth="1"/>
    <col min="8454" max="8454" width="10.28515625" style="1" customWidth="1"/>
    <col min="8455" max="8455" width="10.85546875" style="1" customWidth="1"/>
    <col min="8456" max="8456" width="13.5703125" style="1" customWidth="1"/>
    <col min="8457" max="8457" width="3.42578125" style="1" customWidth="1"/>
    <col min="8458" max="8704" width="9.140625" style="1"/>
    <col min="8705" max="8705" width="16.85546875" style="1" customWidth="1"/>
    <col min="8706" max="8706" width="9.140625" style="1"/>
    <col min="8707" max="8707" width="11.85546875" style="1" customWidth="1"/>
    <col min="8708" max="8708" width="12.5703125" style="1" customWidth="1"/>
    <col min="8709" max="8709" width="12.7109375" style="1" customWidth="1"/>
    <col min="8710" max="8710" width="10.28515625" style="1" customWidth="1"/>
    <col min="8711" max="8711" width="10.85546875" style="1" customWidth="1"/>
    <col min="8712" max="8712" width="13.5703125" style="1" customWidth="1"/>
    <col min="8713" max="8713" width="3.42578125" style="1" customWidth="1"/>
    <col min="8714" max="8960" width="9.140625" style="1"/>
    <col min="8961" max="8961" width="16.85546875" style="1" customWidth="1"/>
    <col min="8962" max="8962" width="9.140625" style="1"/>
    <col min="8963" max="8963" width="11.85546875" style="1" customWidth="1"/>
    <col min="8964" max="8964" width="12.5703125" style="1" customWidth="1"/>
    <col min="8965" max="8965" width="12.7109375" style="1" customWidth="1"/>
    <col min="8966" max="8966" width="10.28515625" style="1" customWidth="1"/>
    <col min="8967" max="8967" width="10.85546875" style="1" customWidth="1"/>
    <col min="8968" max="8968" width="13.5703125" style="1" customWidth="1"/>
    <col min="8969" max="8969" width="3.42578125" style="1" customWidth="1"/>
    <col min="8970" max="9216" width="9.140625" style="1"/>
    <col min="9217" max="9217" width="16.85546875" style="1" customWidth="1"/>
    <col min="9218" max="9218" width="9.140625" style="1"/>
    <col min="9219" max="9219" width="11.85546875" style="1" customWidth="1"/>
    <col min="9220" max="9220" width="12.5703125" style="1" customWidth="1"/>
    <col min="9221" max="9221" width="12.7109375" style="1" customWidth="1"/>
    <col min="9222" max="9222" width="10.28515625" style="1" customWidth="1"/>
    <col min="9223" max="9223" width="10.85546875" style="1" customWidth="1"/>
    <col min="9224" max="9224" width="13.5703125" style="1" customWidth="1"/>
    <col min="9225" max="9225" width="3.42578125" style="1" customWidth="1"/>
    <col min="9226" max="9472" width="9.140625" style="1"/>
    <col min="9473" max="9473" width="16.85546875" style="1" customWidth="1"/>
    <col min="9474" max="9474" width="9.140625" style="1"/>
    <col min="9475" max="9475" width="11.85546875" style="1" customWidth="1"/>
    <col min="9476" max="9476" width="12.5703125" style="1" customWidth="1"/>
    <col min="9477" max="9477" width="12.7109375" style="1" customWidth="1"/>
    <col min="9478" max="9478" width="10.28515625" style="1" customWidth="1"/>
    <col min="9479" max="9479" width="10.85546875" style="1" customWidth="1"/>
    <col min="9480" max="9480" width="13.5703125" style="1" customWidth="1"/>
    <col min="9481" max="9481" width="3.42578125" style="1" customWidth="1"/>
    <col min="9482" max="9728" width="9.140625" style="1"/>
    <col min="9729" max="9729" width="16.85546875" style="1" customWidth="1"/>
    <col min="9730" max="9730" width="9.140625" style="1"/>
    <col min="9731" max="9731" width="11.85546875" style="1" customWidth="1"/>
    <col min="9732" max="9732" width="12.5703125" style="1" customWidth="1"/>
    <col min="9733" max="9733" width="12.7109375" style="1" customWidth="1"/>
    <col min="9734" max="9734" width="10.28515625" style="1" customWidth="1"/>
    <col min="9735" max="9735" width="10.85546875" style="1" customWidth="1"/>
    <col min="9736" max="9736" width="13.5703125" style="1" customWidth="1"/>
    <col min="9737" max="9737" width="3.42578125" style="1" customWidth="1"/>
    <col min="9738" max="9984" width="9.140625" style="1"/>
    <col min="9985" max="9985" width="16.85546875" style="1" customWidth="1"/>
    <col min="9986" max="9986" width="9.140625" style="1"/>
    <col min="9987" max="9987" width="11.85546875" style="1" customWidth="1"/>
    <col min="9988" max="9988" width="12.5703125" style="1" customWidth="1"/>
    <col min="9989" max="9989" width="12.7109375" style="1" customWidth="1"/>
    <col min="9990" max="9990" width="10.28515625" style="1" customWidth="1"/>
    <col min="9991" max="9991" width="10.85546875" style="1" customWidth="1"/>
    <col min="9992" max="9992" width="13.5703125" style="1" customWidth="1"/>
    <col min="9993" max="9993" width="3.42578125" style="1" customWidth="1"/>
    <col min="9994" max="10240" width="9.140625" style="1"/>
    <col min="10241" max="10241" width="16.85546875" style="1" customWidth="1"/>
    <col min="10242" max="10242" width="9.140625" style="1"/>
    <col min="10243" max="10243" width="11.85546875" style="1" customWidth="1"/>
    <col min="10244" max="10244" width="12.5703125" style="1" customWidth="1"/>
    <col min="10245" max="10245" width="12.7109375" style="1" customWidth="1"/>
    <col min="10246" max="10246" width="10.28515625" style="1" customWidth="1"/>
    <col min="10247" max="10247" width="10.85546875" style="1" customWidth="1"/>
    <col min="10248" max="10248" width="13.5703125" style="1" customWidth="1"/>
    <col min="10249" max="10249" width="3.42578125" style="1" customWidth="1"/>
    <col min="10250" max="10496" width="9.140625" style="1"/>
    <col min="10497" max="10497" width="16.85546875" style="1" customWidth="1"/>
    <col min="10498" max="10498" width="9.140625" style="1"/>
    <col min="10499" max="10499" width="11.85546875" style="1" customWidth="1"/>
    <col min="10500" max="10500" width="12.5703125" style="1" customWidth="1"/>
    <col min="10501" max="10501" width="12.7109375" style="1" customWidth="1"/>
    <col min="10502" max="10502" width="10.28515625" style="1" customWidth="1"/>
    <col min="10503" max="10503" width="10.85546875" style="1" customWidth="1"/>
    <col min="10504" max="10504" width="13.5703125" style="1" customWidth="1"/>
    <col min="10505" max="10505" width="3.42578125" style="1" customWidth="1"/>
    <col min="10506" max="10752" width="9.140625" style="1"/>
    <col min="10753" max="10753" width="16.85546875" style="1" customWidth="1"/>
    <col min="10754" max="10754" width="9.140625" style="1"/>
    <col min="10755" max="10755" width="11.85546875" style="1" customWidth="1"/>
    <col min="10756" max="10756" width="12.5703125" style="1" customWidth="1"/>
    <col min="10757" max="10757" width="12.7109375" style="1" customWidth="1"/>
    <col min="10758" max="10758" width="10.28515625" style="1" customWidth="1"/>
    <col min="10759" max="10759" width="10.85546875" style="1" customWidth="1"/>
    <col min="10760" max="10760" width="13.5703125" style="1" customWidth="1"/>
    <col min="10761" max="10761" width="3.42578125" style="1" customWidth="1"/>
    <col min="10762" max="11008" width="9.140625" style="1"/>
    <col min="11009" max="11009" width="16.85546875" style="1" customWidth="1"/>
    <col min="11010" max="11010" width="9.140625" style="1"/>
    <col min="11011" max="11011" width="11.85546875" style="1" customWidth="1"/>
    <col min="11012" max="11012" width="12.5703125" style="1" customWidth="1"/>
    <col min="11013" max="11013" width="12.7109375" style="1" customWidth="1"/>
    <col min="11014" max="11014" width="10.28515625" style="1" customWidth="1"/>
    <col min="11015" max="11015" width="10.85546875" style="1" customWidth="1"/>
    <col min="11016" max="11016" width="13.5703125" style="1" customWidth="1"/>
    <col min="11017" max="11017" width="3.42578125" style="1" customWidth="1"/>
    <col min="11018" max="11264" width="9.140625" style="1"/>
    <col min="11265" max="11265" width="16.85546875" style="1" customWidth="1"/>
    <col min="11266" max="11266" width="9.140625" style="1"/>
    <col min="11267" max="11267" width="11.85546875" style="1" customWidth="1"/>
    <col min="11268" max="11268" width="12.5703125" style="1" customWidth="1"/>
    <col min="11269" max="11269" width="12.7109375" style="1" customWidth="1"/>
    <col min="11270" max="11270" width="10.28515625" style="1" customWidth="1"/>
    <col min="11271" max="11271" width="10.85546875" style="1" customWidth="1"/>
    <col min="11272" max="11272" width="13.5703125" style="1" customWidth="1"/>
    <col min="11273" max="11273" width="3.42578125" style="1" customWidth="1"/>
    <col min="11274" max="11520" width="9.140625" style="1"/>
    <col min="11521" max="11521" width="16.85546875" style="1" customWidth="1"/>
    <col min="11522" max="11522" width="9.140625" style="1"/>
    <col min="11523" max="11523" width="11.85546875" style="1" customWidth="1"/>
    <col min="11524" max="11524" width="12.5703125" style="1" customWidth="1"/>
    <col min="11525" max="11525" width="12.7109375" style="1" customWidth="1"/>
    <col min="11526" max="11526" width="10.28515625" style="1" customWidth="1"/>
    <col min="11527" max="11527" width="10.85546875" style="1" customWidth="1"/>
    <col min="11528" max="11528" width="13.5703125" style="1" customWidth="1"/>
    <col min="11529" max="11529" width="3.42578125" style="1" customWidth="1"/>
    <col min="11530" max="11776" width="9.140625" style="1"/>
    <col min="11777" max="11777" width="16.85546875" style="1" customWidth="1"/>
    <col min="11778" max="11778" width="9.140625" style="1"/>
    <col min="11779" max="11779" width="11.85546875" style="1" customWidth="1"/>
    <col min="11780" max="11780" width="12.5703125" style="1" customWidth="1"/>
    <col min="11781" max="11781" width="12.7109375" style="1" customWidth="1"/>
    <col min="11782" max="11782" width="10.28515625" style="1" customWidth="1"/>
    <col min="11783" max="11783" width="10.85546875" style="1" customWidth="1"/>
    <col min="11784" max="11784" width="13.5703125" style="1" customWidth="1"/>
    <col min="11785" max="11785" width="3.42578125" style="1" customWidth="1"/>
    <col min="11786" max="12032" width="9.140625" style="1"/>
    <col min="12033" max="12033" width="16.85546875" style="1" customWidth="1"/>
    <col min="12034" max="12034" width="9.140625" style="1"/>
    <col min="12035" max="12035" width="11.85546875" style="1" customWidth="1"/>
    <col min="12036" max="12036" width="12.5703125" style="1" customWidth="1"/>
    <col min="12037" max="12037" width="12.7109375" style="1" customWidth="1"/>
    <col min="12038" max="12038" width="10.28515625" style="1" customWidth="1"/>
    <col min="12039" max="12039" width="10.85546875" style="1" customWidth="1"/>
    <col min="12040" max="12040" width="13.5703125" style="1" customWidth="1"/>
    <col min="12041" max="12041" width="3.42578125" style="1" customWidth="1"/>
    <col min="12042" max="12288" width="9.140625" style="1"/>
    <col min="12289" max="12289" width="16.85546875" style="1" customWidth="1"/>
    <col min="12290" max="12290" width="9.140625" style="1"/>
    <col min="12291" max="12291" width="11.85546875" style="1" customWidth="1"/>
    <col min="12292" max="12292" width="12.5703125" style="1" customWidth="1"/>
    <col min="12293" max="12293" width="12.7109375" style="1" customWidth="1"/>
    <col min="12294" max="12294" width="10.28515625" style="1" customWidth="1"/>
    <col min="12295" max="12295" width="10.85546875" style="1" customWidth="1"/>
    <col min="12296" max="12296" width="13.5703125" style="1" customWidth="1"/>
    <col min="12297" max="12297" width="3.42578125" style="1" customWidth="1"/>
    <col min="12298" max="12544" width="9.140625" style="1"/>
    <col min="12545" max="12545" width="16.85546875" style="1" customWidth="1"/>
    <col min="12546" max="12546" width="9.140625" style="1"/>
    <col min="12547" max="12547" width="11.85546875" style="1" customWidth="1"/>
    <col min="12548" max="12548" width="12.5703125" style="1" customWidth="1"/>
    <col min="12549" max="12549" width="12.7109375" style="1" customWidth="1"/>
    <col min="12550" max="12550" width="10.28515625" style="1" customWidth="1"/>
    <col min="12551" max="12551" width="10.85546875" style="1" customWidth="1"/>
    <col min="12552" max="12552" width="13.5703125" style="1" customWidth="1"/>
    <col min="12553" max="12553" width="3.42578125" style="1" customWidth="1"/>
    <col min="12554" max="12800" width="9.140625" style="1"/>
    <col min="12801" max="12801" width="16.85546875" style="1" customWidth="1"/>
    <col min="12802" max="12802" width="9.140625" style="1"/>
    <col min="12803" max="12803" width="11.85546875" style="1" customWidth="1"/>
    <col min="12804" max="12804" width="12.5703125" style="1" customWidth="1"/>
    <col min="12805" max="12805" width="12.7109375" style="1" customWidth="1"/>
    <col min="12806" max="12806" width="10.28515625" style="1" customWidth="1"/>
    <col min="12807" max="12807" width="10.85546875" style="1" customWidth="1"/>
    <col min="12808" max="12808" width="13.5703125" style="1" customWidth="1"/>
    <col min="12809" max="12809" width="3.42578125" style="1" customWidth="1"/>
    <col min="12810" max="13056" width="9.140625" style="1"/>
    <col min="13057" max="13057" width="16.85546875" style="1" customWidth="1"/>
    <col min="13058" max="13058" width="9.140625" style="1"/>
    <col min="13059" max="13059" width="11.85546875" style="1" customWidth="1"/>
    <col min="13060" max="13060" width="12.5703125" style="1" customWidth="1"/>
    <col min="13061" max="13061" width="12.7109375" style="1" customWidth="1"/>
    <col min="13062" max="13062" width="10.28515625" style="1" customWidth="1"/>
    <col min="13063" max="13063" width="10.85546875" style="1" customWidth="1"/>
    <col min="13064" max="13064" width="13.5703125" style="1" customWidth="1"/>
    <col min="13065" max="13065" width="3.42578125" style="1" customWidth="1"/>
    <col min="13066" max="13312" width="9.140625" style="1"/>
    <col min="13313" max="13313" width="16.85546875" style="1" customWidth="1"/>
    <col min="13314" max="13314" width="9.140625" style="1"/>
    <col min="13315" max="13315" width="11.85546875" style="1" customWidth="1"/>
    <col min="13316" max="13316" width="12.5703125" style="1" customWidth="1"/>
    <col min="13317" max="13317" width="12.7109375" style="1" customWidth="1"/>
    <col min="13318" max="13318" width="10.28515625" style="1" customWidth="1"/>
    <col min="13319" max="13319" width="10.85546875" style="1" customWidth="1"/>
    <col min="13320" max="13320" width="13.5703125" style="1" customWidth="1"/>
    <col min="13321" max="13321" width="3.42578125" style="1" customWidth="1"/>
    <col min="13322" max="13568" width="9.140625" style="1"/>
    <col min="13569" max="13569" width="16.85546875" style="1" customWidth="1"/>
    <col min="13570" max="13570" width="9.140625" style="1"/>
    <col min="13571" max="13571" width="11.85546875" style="1" customWidth="1"/>
    <col min="13572" max="13572" width="12.5703125" style="1" customWidth="1"/>
    <col min="13573" max="13573" width="12.7109375" style="1" customWidth="1"/>
    <col min="13574" max="13574" width="10.28515625" style="1" customWidth="1"/>
    <col min="13575" max="13575" width="10.85546875" style="1" customWidth="1"/>
    <col min="13576" max="13576" width="13.5703125" style="1" customWidth="1"/>
    <col min="13577" max="13577" width="3.42578125" style="1" customWidth="1"/>
    <col min="13578" max="13824" width="9.140625" style="1"/>
    <col min="13825" max="13825" width="16.85546875" style="1" customWidth="1"/>
    <col min="13826" max="13826" width="9.140625" style="1"/>
    <col min="13827" max="13827" width="11.85546875" style="1" customWidth="1"/>
    <col min="13828" max="13828" width="12.5703125" style="1" customWidth="1"/>
    <col min="13829" max="13829" width="12.7109375" style="1" customWidth="1"/>
    <col min="13830" max="13830" width="10.28515625" style="1" customWidth="1"/>
    <col min="13831" max="13831" width="10.85546875" style="1" customWidth="1"/>
    <col min="13832" max="13832" width="13.5703125" style="1" customWidth="1"/>
    <col min="13833" max="13833" width="3.42578125" style="1" customWidth="1"/>
    <col min="13834" max="14080" width="9.140625" style="1"/>
    <col min="14081" max="14081" width="16.85546875" style="1" customWidth="1"/>
    <col min="14082" max="14082" width="9.140625" style="1"/>
    <col min="14083" max="14083" width="11.85546875" style="1" customWidth="1"/>
    <col min="14084" max="14084" width="12.5703125" style="1" customWidth="1"/>
    <col min="14085" max="14085" width="12.7109375" style="1" customWidth="1"/>
    <col min="14086" max="14086" width="10.28515625" style="1" customWidth="1"/>
    <col min="14087" max="14087" width="10.85546875" style="1" customWidth="1"/>
    <col min="14088" max="14088" width="13.5703125" style="1" customWidth="1"/>
    <col min="14089" max="14089" width="3.42578125" style="1" customWidth="1"/>
    <col min="14090" max="14336" width="9.140625" style="1"/>
    <col min="14337" max="14337" width="16.85546875" style="1" customWidth="1"/>
    <col min="14338" max="14338" width="9.140625" style="1"/>
    <col min="14339" max="14339" width="11.85546875" style="1" customWidth="1"/>
    <col min="14340" max="14340" width="12.5703125" style="1" customWidth="1"/>
    <col min="14341" max="14341" width="12.7109375" style="1" customWidth="1"/>
    <col min="14342" max="14342" width="10.28515625" style="1" customWidth="1"/>
    <col min="14343" max="14343" width="10.85546875" style="1" customWidth="1"/>
    <col min="14344" max="14344" width="13.5703125" style="1" customWidth="1"/>
    <col min="14345" max="14345" width="3.42578125" style="1" customWidth="1"/>
    <col min="14346" max="14592" width="9.140625" style="1"/>
    <col min="14593" max="14593" width="16.85546875" style="1" customWidth="1"/>
    <col min="14594" max="14594" width="9.140625" style="1"/>
    <col min="14595" max="14595" width="11.85546875" style="1" customWidth="1"/>
    <col min="14596" max="14596" width="12.5703125" style="1" customWidth="1"/>
    <col min="14597" max="14597" width="12.7109375" style="1" customWidth="1"/>
    <col min="14598" max="14598" width="10.28515625" style="1" customWidth="1"/>
    <col min="14599" max="14599" width="10.85546875" style="1" customWidth="1"/>
    <col min="14600" max="14600" width="13.5703125" style="1" customWidth="1"/>
    <col min="14601" max="14601" width="3.42578125" style="1" customWidth="1"/>
    <col min="14602" max="14848" width="9.140625" style="1"/>
    <col min="14849" max="14849" width="16.85546875" style="1" customWidth="1"/>
    <col min="14850" max="14850" width="9.140625" style="1"/>
    <col min="14851" max="14851" width="11.85546875" style="1" customWidth="1"/>
    <col min="14852" max="14852" width="12.5703125" style="1" customWidth="1"/>
    <col min="14853" max="14853" width="12.7109375" style="1" customWidth="1"/>
    <col min="14854" max="14854" width="10.28515625" style="1" customWidth="1"/>
    <col min="14855" max="14855" width="10.85546875" style="1" customWidth="1"/>
    <col min="14856" max="14856" width="13.5703125" style="1" customWidth="1"/>
    <col min="14857" max="14857" width="3.42578125" style="1" customWidth="1"/>
    <col min="14858" max="15104" width="9.140625" style="1"/>
    <col min="15105" max="15105" width="16.85546875" style="1" customWidth="1"/>
    <col min="15106" max="15106" width="9.140625" style="1"/>
    <col min="15107" max="15107" width="11.85546875" style="1" customWidth="1"/>
    <col min="15108" max="15108" width="12.5703125" style="1" customWidth="1"/>
    <col min="15109" max="15109" width="12.7109375" style="1" customWidth="1"/>
    <col min="15110" max="15110" width="10.28515625" style="1" customWidth="1"/>
    <col min="15111" max="15111" width="10.85546875" style="1" customWidth="1"/>
    <col min="15112" max="15112" width="13.5703125" style="1" customWidth="1"/>
    <col min="15113" max="15113" width="3.42578125" style="1" customWidth="1"/>
    <col min="15114" max="15360" width="9.140625" style="1"/>
    <col min="15361" max="15361" width="16.85546875" style="1" customWidth="1"/>
    <col min="15362" max="15362" width="9.140625" style="1"/>
    <col min="15363" max="15363" width="11.85546875" style="1" customWidth="1"/>
    <col min="15364" max="15364" width="12.5703125" style="1" customWidth="1"/>
    <col min="15365" max="15365" width="12.7109375" style="1" customWidth="1"/>
    <col min="15366" max="15366" width="10.28515625" style="1" customWidth="1"/>
    <col min="15367" max="15367" width="10.85546875" style="1" customWidth="1"/>
    <col min="15368" max="15368" width="13.5703125" style="1" customWidth="1"/>
    <col min="15369" max="15369" width="3.42578125" style="1" customWidth="1"/>
    <col min="15370" max="15616" width="9.140625" style="1"/>
    <col min="15617" max="15617" width="16.85546875" style="1" customWidth="1"/>
    <col min="15618" max="15618" width="9.140625" style="1"/>
    <col min="15619" max="15619" width="11.85546875" style="1" customWidth="1"/>
    <col min="15620" max="15620" width="12.5703125" style="1" customWidth="1"/>
    <col min="15621" max="15621" width="12.7109375" style="1" customWidth="1"/>
    <col min="15622" max="15622" width="10.28515625" style="1" customWidth="1"/>
    <col min="15623" max="15623" width="10.85546875" style="1" customWidth="1"/>
    <col min="15624" max="15624" width="13.5703125" style="1" customWidth="1"/>
    <col min="15625" max="15625" width="3.42578125" style="1" customWidth="1"/>
    <col min="15626" max="15872" width="9.140625" style="1"/>
    <col min="15873" max="15873" width="16.85546875" style="1" customWidth="1"/>
    <col min="15874" max="15874" width="9.140625" style="1"/>
    <col min="15875" max="15875" width="11.85546875" style="1" customWidth="1"/>
    <col min="15876" max="15876" width="12.5703125" style="1" customWidth="1"/>
    <col min="15877" max="15877" width="12.7109375" style="1" customWidth="1"/>
    <col min="15878" max="15878" width="10.28515625" style="1" customWidth="1"/>
    <col min="15879" max="15879" width="10.85546875" style="1" customWidth="1"/>
    <col min="15880" max="15880" width="13.5703125" style="1" customWidth="1"/>
    <col min="15881" max="15881" width="3.42578125" style="1" customWidth="1"/>
    <col min="15882" max="16128" width="9.140625" style="1"/>
    <col min="16129" max="16129" width="16.85546875" style="1" customWidth="1"/>
    <col min="16130" max="16130" width="9.140625" style="1"/>
    <col min="16131" max="16131" width="11.85546875" style="1" customWidth="1"/>
    <col min="16132" max="16132" width="12.5703125" style="1" customWidth="1"/>
    <col min="16133" max="16133" width="12.7109375" style="1" customWidth="1"/>
    <col min="16134" max="16134" width="10.28515625" style="1" customWidth="1"/>
    <col min="16135" max="16135" width="10.85546875" style="1" customWidth="1"/>
    <col min="16136" max="16136" width="13.5703125" style="1" customWidth="1"/>
    <col min="16137" max="16137" width="3.42578125" style="1" customWidth="1"/>
    <col min="16138" max="16384" width="9.140625" style="1"/>
  </cols>
  <sheetData>
    <row r="1" spans="1:56" ht="80.25" customHeight="1">
      <c r="A1" s="364" t="s">
        <v>47</v>
      </c>
      <c r="B1" s="365"/>
      <c r="C1" s="365"/>
      <c r="D1" s="365"/>
      <c r="E1" s="365"/>
      <c r="F1" s="365"/>
      <c r="G1" s="365"/>
      <c r="H1" s="365"/>
      <c r="I1" s="366"/>
    </row>
    <row r="2" spans="1:56" ht="20.25" customHeight="1">
      <c r="A2" s="360" t="s">
        <v>124</v>
      </c>
      <c r="B2" s="361"/>
      <c r="C2" s="361"/>
      <c r="D2" s="361"/>
      <c r="E2" s="361"/>
      <c r="F2" s="361"/>
      <c r="G2" s="143">
        <v>20</v>
      </c>
      <c r="H2" s="362"/>
      <c r="I2" s="363"/>
    </row>
    <row r="3" spans="1:56" customFormat="1" ht="9.75" customHeight="1">
      <c r="A3" s="12"/>
      <c r="B3" s="55"/>
      <c r="C3" s="55"/>
      <c r="D3" s="55"/>
      <c r="E3" s="55"/>
      <c r="F3" s="55"/>
      <c r="G3" s="55"/>
      <c r="H3" s="55"/>
      <c r="I3" s="5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12.75" customHeight="1">
      <c r="A4" s="3" t="s">
        <v>29</v>
      </c>
      <c r="B4" s="367"/>
      <c r="C4" s="368"/>
      <c r="D4" s="368"/>
      <c r="E4" s="368"/>
      <c r="F4" s="4"/>
      <c r="G4" s="4"/>
      <c r="H4" s="4"/>
      <c r="I4" s="5"/>
    </row>
    <row r="5" spans="1:56" ht="6.75" customHeight="1">
      <c r="A5" s="6"/>
      <c r="B5" s="55"/>
      <c r="C5" s="55"/>
      <c r="D5" s="55"/>
      <c r="E5" s="55"/>
      <c r="F5" s="4"/>
      <c r="G5" s="4"/>
      <c r="H5" s="4"/>
      <c r="I5" s="5"/>
    </row>
    <row r="6" spans="1:56" customFormat="1">
      <c r="A6" s="7" t="s">
        <v>30</v>
      </c>
      <c r="B6" s="367"/>
      <c r="C6" s="367"/>
      <c r="D6" s="367"/>
      <c r="E6" s="57"/>
      <c r="F6" s="9" t="s">
        <v>31</v>
      </c>
      <c r="G6" s="369"/>
      <c r="H6" s="369"/>
      <c r="I6" s="1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customFormat="1" ht="7.5" customHeight="1">
      <c r="A7" s="12"/>
      <c r="B7" s="13"/>
      <c r="C7" s="13"/>
      <c r="D7" s="8"/>
      <c r="E7" s="57"/>
      <c r="F7" s="13"/>
      <c r="G7" s="14"/>
      <c r="H7" s="4"/>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customFormat="1" ht="14.25" customHeight="1">
      <c r="A8" s="376" t="s">
        <v>32</v>
      </c>
      <c r="B8" s="377"/>
      <c r="C8" s="378"/>
      <c r="D8" s="378"/>
      <c r="E8" s="57"/>
      <c r="F8" s="9" t="s">
        <v>33</v>
      </c>
      <c r="G8" s="383"/>
      <c r="H8" s="383"/>
      <c r="I8" s="16"/>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customFormat="1" ht="15" customHeight="1">
      <c r="A9" s="376"/>
      <c r="B9" s="378"/>
      <c r="C9" s="378"/>
      <c r="D9" s="378"/>
      <c r="E9" s="57"/>
      <c r="F9" s="57"/>
      <c r="G9" s="57"/>
      <c r="H9" s="10"/>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56" ht="11.25" customHeight="1">
      <c r="A10" s="20"/>
      <c r="B10" s="21"/>
      <c r="C10" s="21"/>
      <c r="D10" s="21"/>
      <c r="E10" s="21"/>
      <c r="F10" s="21"/>
      <c r="G10" s="21"/>
      <c r="H10" s="21"/>
      <c r="I10" s="22"/>
    </row>
    <row r="11" spans="1:56" ht="4.5" customHeight="1">
      <c r="A11" s="23"/>
      <c r="B11" s="24"/>
      <c r="C11" s="24"/>
      <c r="D11" s="24"/>
      <c r="E11" s="24"/>
      <c r="F11" s="24"/>
      <c r="G11" s="24"/>
      <c r="H11" s="24"/>
      <c r="I11" s="25"/>
    </row>
    <row r="12" spans="1:56" ht="11.25" customHeight="1">
      <c r="A12" s="26" t="s">
        <v>34</v>
      </c>
      <c r="B12" s="27"/>
      <c r="C12" s="27"/>
      <c r="D12" s="27"/>
      <c r="E12" s="27"/>
      <c r="F12" s="27"/>
      <c r="G12" s="27"/>
      <c r="H12" s="27"/>
      <c r="I12" s="28"/>
      <c r="J12" s="103"/>
      <c r="O12" s="104"/>
      <c r="P12" s="104"/>
      <c r="Q12" s="104"/>
      <c r="R12" s="104"/>
      <c r="S12" s="104"/>
      <c r="T12" s="104"/>
      <c r="U12" s="104"/>
      <c r="V12" s="104"/>
      <c r="W12" s="104"/>
      <c r="X12" s="104"/>
    </row>
    <row r="13" spans="1:56" ht="5.25" customHeight="1">
      <c r="A13" s="29"/>
      <c r="B13" s="57"/>
      <c r="C13" s="27"/>
      <c r="D13" s="27"/>
      <c r="E13" s="27"/>
      <c r="F13" s="27"/>
      <c r="G13" s="27"/>
      <c r="H13" s="27"/>
      <c r="I13" s="28"/>
      <c r="O13" s="104"/>
      <c r="P13" s="104"/>
      <c r="Q13" s="104"/>
      <c r="R13" s="104"/>
      <c r="S13" s="104"/>
      <c r="T13" s="104"/>
      <c r="U13" s="104"/>
      <c r="V13" s="104"/>
      <c r="W13" s="104"/>
      <c r="X13" s="104"/>
    </row>
    <row r="14" spans="1:56" ht="13.5" customHeight="1">
      <c r="A14" s="113" t="s">
        <v>51</v>
      </c>
      <c r="B14" s="57"/>
      <c r="C14" s="57"/>
      <c r="D14" s="57"/>
      <c r="E14" s="62" t="s">
        <v>128</v>
      </c>
      <c r="F14" s="57"/>
      <c r="G14" s="27"/>
      <c r="H14" s="27"/>
      <c r="I14" s="28"/>
      <c r="O14" s="108"/>
      <c r="P14" s="104"/>
      <c r="Q14" s="104"/>
      <c r="R14" s="104"/>
      <c r="S14" s="105"/>
      <c r="T14" s="104"/>
      <c r="U14" s="106"/>
      <c r="V14" s="106"/>
      <c r="W14" s="104"/>
      <c r="X14" s="104"/>
    </row>
    <row r="15" spans="1:56" ht="13.5" customHeight="1">
      <c r="A15" s="113" t="s">
        <v>127</v>
      </c>
      <c r="B15" s="57"/>
      <c r="C15" s="57"/>
      <c r="D15" s="57"/>
      <c r="E15" s="62" t="s">
        <v>129</v>
      </c>
      <c r="F15" s="57"/>
      <c r="G15" s="61"/>
      <c r="H15" s="27"/>
      <c r="I15" s="28"/>
      <c r="O15" s="108"/>
      <c r="P15" s="104"/>
      <c r="Q15" s="104"/>
      <c r="R15" s="104"/>
      <c r="S15" s="104"/>
      <c r="T15" s="104"/>
      <c r="U15" s="107"/>
      <c r="V15" s="106"/>
      <c r="W15" s="104"/>
      <c r="X15" s="104"/>
    </row>
    <row r="16" spans="1:56" ht="13.5" customHeight="1">
      <c r="A16" s="113" t="s">
        <v>49</v>
      </c>
      <c r="B16" s="57"/>
      <c r="C16" s="57"/>
      <c r="D16" s="57"/>
      <c r="E16" s="62" t="s">
        <v>130</v>
      </c>
      <c r="F16" s="57"/>
      <c r="G16" s="27"/>
      <c r="H16" s="27"/>
      <c r="I16" s="28"/>
      <c r="O16" s="108"/>
      <c r="P16" s="104"/>
      <c r="Q16" s="104"/>
      <c r="R16" s="104"/>
      <c r="S16" s="104"/>
      <c r="T16" s="104"/>
      <c r="U16" s="106"/>
      <c r="V16" s="106"/>
      <c r="W16" s="104"/>
      <c r="X16" s="104"/>
    </row>
    <row r="17" spans="1:24" ht="13.5" customHeight="1">
      <c r="A17" s="113" t="s">
        <v>50</v>
      </c>
      <c r="B17" s="57"/>
      <c r="C17" s="57"/>
      <c r="D17" s="57"/>
      <c r="E17" s="62" t="s">
        <v>131</v>
      </c>
      <c r="F17" s="57"/>
      <c r="G17" s="27"/>
      <c r="H17" s="27"/>
      <c r="I17" s="28"/>
      <c r="O17" s="108"/>
      <c r="P17" s="104"/>
      <c r="Q17" s="104"/>
      <c r="R17" s="104"/>
      <c r="S17" s="105"/>
      <c r="T17" s="104"/>
      <c r="U17" s="106"/>
      <c r="V17" s="106"/>
      <c r="W17" s="104"/>
      <c r="X17" s="104"/>
    </row>
    <row r="18" spans="1:24" ht="6" customHeight="1">
      <c r="A18" s="20"/>
      <c r="B18" s="53"/>
      <c r="C18" s="63"/>
      <c r="D18" s="21"/>
      <c r="E18" s="21"/>
      <c r="F18" s="21"/>
      <c r="G18" s="21"/>
      <c r="H18" s="21"/>
      <c r="I18" s="22"/>
      <c r="O18" s="104"/>
      <c r="P18" s="104"/>
      <c r="Q18" s="104"/>
      <c r="R18" s="104"/>
      <c r="S18" s="104"/>
      <c r="T18" s="104"/>
      <c r="U18" s="104"/>
      <c r="V18" s="104"/>
      <c r="W18" s="104"/>
      <c r="X18" s="104"/>
    </row>
    <row r="19" spans="1:24" ht="6" customHeight="1">
      <c r="A19" s="30"/>
      <c r="B19" s="31"/>
      <c r="C19" s="32"/>
      <c r="D19" s="32"/>
      <c r="E19" s="32"/>
      <c r="F19" s="32"/>
      <c r="G19" s="33"/>
      <c r="H19" s="34"/>
      <c r="I19" s="35"/>
      <c r="O19" s="104"/>
      <c r="P19" s="104"/>
      <c r="Q19" s="104"/>
      <c r="R19" s="104"/>
      <c r="S19" s="104"/>
      <c r="T19" s="104"/>
      <c r="U19" s="104"/>
      <c r="V19" s="104"/>
      <c r="W19" s="104"/>
      <c r="X19" s="104"/>
    </row>
    <row r="20" spans="1:24" ht="15" customHeight="1">
      <c r="A20" s="36" t="s">
        <v>35</v>
      </c>
      <c r="B20" s="37"/>
      <c r="C20" s="37"/>
      <c r="D20" s="37"/>
      <c r="E20" s="38"/>
      <c r="F20" s="39"/>
      <c r="G20" s="39"/>
      <c r="H20" s="39"/>
      <c r="I20" s="40"/>
      <c r="O20" s="104"/>
      <c r="P20" s="104"/>
      <c r="Q20" s="104"/>
      <c r="R20" s="104"/>
      <c r="S20" s="104"/>
      <c r="T20" s="104"/>
      <c r="U20" s="104"/>
      <c r="V20" s="104"/>
      <c r="W20" s="104"/>
      <c r="X20" s="104"/>
    </row>
    <row r="21" spans="1:24" ht="2.25" customHeight="1">
      <c r="A21" s="19"/>
      <c r="B21" s="41"/>
      <c r="C21" s="41"/>
      <c r="D21" s="41"/>
      <c r="E21" s="8"/>
      <c r="F21" s="4"/>
      <c r="G21" s="4"/>
      <c r="H21" s="4"/>
      <c r="I21" s="5"/>
    </row>
    <row r="22" spans="1:24" ht="15" customHeight="1">
      <c r="A22" s="42" t="s">
        <v>36</v>
      </c>
      <c r="B22" s="372"/>
      <c r="C22" s="373"/>
      <c r="D22" s="373"/>
      <c r="E22" s="8"/>
      <c r="F22" s="43" t="s">
        <v>37</v>
      </c>
      <c r="G22" s="374"/>
      <c r="H22" s="374"/>
      <c r="I22" s="5"/>
    </row>
    <row r="23" spans="1:24" ht="4.5" customHeight="1">
      <c r="A23" s="44"/>
      <c r="B23" s="45"/>
      <c r="C23" s="45"/>
      <c r="D23" s="45"/>
      <c r="E23" s="8"/>
      <c r="F23" s="4"/>
      <c r="G23" s="4"/>
      <c r="H23" s="4"/>
      <c r="I23" s="5"/>
    </row>
    <row r="24" spans="1:24" ht="15" customHeight="1">
      <c r="A24" s="42" t="s">
        <v>38</v>
      </c>
      <c r="B24" s="372"/>
      <c r="C24" s="373"/>
      <c r="D24" s="373"/>
      <c r="E24" s="8"/>
      <c r="F24" s="4"/>
      <c r="G24" s="4"/>
      <c r="H24" s="4"/>
      <c r="I24" s="5"/>
    </row>
    <row r="25" spans="1:24" ht="7.5" customHeight="1">
      <c r="A25" s="44"/>
      <c r="B25" s="45"/>
      <c r="C25" s="45"/>
      <c r="D25" s="45"/>
      <c r="E25" s="8"/>
      <c r="F25" s="4"/>
      <c r="G25" s="4"/>
      <c r="H25" s="4"/>
      <c r="I25" s="5"/>
    </row>
    <row r="26" spans="1:24" ht="105.75" customHeight="1">
      <c r="A26" s="380" t="s">
        <v>39</v>
      </c>
      <c r="B26" s="381"/>
      <c r="C26" s="381"/>
      <c r="D26" s="381"/>
      <c r="E26" s="381"/>
      <c r="F26" s="381"/>
      <c r="G26" s="381"/>
      <c r="H26" s="381"/>
      <c r="I26" s="382"/>
    </row>
    <row r="27" spans="1:24" ht="14.25" customHeight="1">
      <c r="A27" s="36" t="s">
        <v>40</v>
      </c>
      <c r="B27" s="46"/>
      <c r="C27" s="46"/>
      <c r="D27" s="46"/>
      <c r="E27" s="38"/>
      <c r="F27" s="37"/>
      <c r="G27" s="37"/>
      <c r="H27" s="37"/>
      <c r="I27" s="47"/>
    </row>
    <row r="28" spans="1:24" ht="7.5" customHeight="1">
      <c r="A28" s="19"/>
      <c r="B28" s="41"/>
      <c r="C28" s="41"/>
      <c r="D28" s="41"/>
      <c r="E28" s="8"/>
      <c r="F28" s="4"/>
      <c r="G28" s="4"/>
      <c r="H28" s="4"/>
      <c r="I28" s="5"/>
    </row>
    <row r="29" spans="1:24" ht="16.5" customHeight="1">
      <c r="A29" s="48" t="s">
        <v>41</v>
      </c>
      <c r="B29" s="372"/>
      <c r="C29" s="373"/>
      <c r="D29" s="373"/>
      <c r="E29" s="8"/>
      <c r="F29" s="43" t="s">
        <v>37</v>
      </c>
      <c r="G29" s="374"/>
      <c r="H29" s="374"/>
      <c r="I29" s="5"/>
    </row>
    <row r="30" spans="1:24" ht="6" customHeight="1">
      <c r="A30" s="48"/>
      <c r="B30" s="45"/>
      <c r="C30" s="45"/>
      <c r="D30" s="45"/>
      <c r="E30" s="8"/>
      <c r="F30" s="43"/>
      <c r="G30" s="15"/>
      <c r="H30" s="15"/>
      <c r="I30" s="5"/>
    </row>
    <row r="31" spans="1:24" ht="26.25" customHeight="1">
      <c r="A31" s="42" t="s">
        <v>42</v>
      </c>
      <c r="B31" s="379"/>
      <c r="C31" s="379"/>
      <c r="D31" s="58" t="s">
        <v>48</v>
      </c>
      <c r="E31" s="59"/>
      <c r="F31" s="375" t="s">
        <v>43</v>
      </c>
      <c r="G31" s="375"/>
      <c r="H31" s="60"/>
      <c r="I31" s="5"/>
    </row>
    <row r="32" spans="1:24" ht="4.5" customHeight="1">
      <c r="A32" s="48"/>
      <c r="B32" s="45"/>
      <c r="C32" s="45"/>
      <c r="D32" s="45"/>
      <c r="E32" s="8"/>
      <c r="F32" s="43"/>
      <c r="G32" s="15"/>
      <c r="H32" s="15"/>
      <c r="I32" s="5"/>
    </row>
    <row r="33" spans="1:9" ht="22.5" customHeight="1">
      <c r="A33" s="48" t="s">
        <v>44</v>
      </c>
      <c r="B33" s="370"/>
      <c r="C33" s="371"/>
      <c r="D33" s="371"/>
      <c r="E33" s="49"/>
      <c r="G33" s="43" t="s">
        <v>45</v>
      </c>
      <c r="H33" s="50"/>
      <c r="I33" s="5"/>
    </row>
    <row r="34" spans="1:9" ht="9" customHeight="1">
      <c r="A34" s="44"/>
      <c r="B34" s="45"/>
      <c r="C34" s="45"/>
      <c r="D34" s="45"/>
      <c r="E34" s="8"/>
      <c r="F34" s="4"/>
      <c r="G34" s="4"/>
      <c r="H34" s="4"/>
      <c r="I34" s="5"/>
    </row>
    <row r="35" spans="1:9">
      <c r="A35" s="36" t="s">
        <v>46</v>
      </c>
      <c r="B35" s="46"/>
      <c r="C35" s="46"/>
      <c r="D35" s="46"/>
      <c r="E35" s="38"/>
      <c r="F35" s="37"/>
      <c r="G35" s="37"/>
      <c r="H35" s="37"/>
      <c r="I35" s="47"/>
    </row>
    <row r="36" spans="1:9" ht="3.75" customHeight="1">
      <c r="A36" s="19"/>
      <c r="B36" s="41"/>
      <c r="C36" s="41"/>
      <c r="D36" s="41"/>
      <c r="E36" s="8"/>
      <c r="F36" s="4"/>
      <c r="G36" s="4"/>
      <c r="H36" s="4"/>
      <c r="I36" s="5"/>
    </row>
    <row r="37" spans="1:9" ht="16.5" customHeight="1">
      <c r="A37" s="48" t="s">
        <v>41</v>
      </c>
      <c r="B37" s="372"/>
      <c r="C37" s="373"/>
      <c r="D37" s="373"/>
      <c r="E37" s="8"/>
      <c r="F37" s="43" t="s">
        <v>37</v>
      </c>
      <c r="G37" s="374"/>
      <c r="H37" s="374"/>
      <c r="I37" s="5"/>
    </row>
    <row r="38" spans="1:9" ht="6" customHeight="1">
      <c r="A38" s="48"/>
      <c r="B38" s="45"/>
      <c r="C38" s="45"/>
      <c r="D38" s="45"/>
      <c r="E38" s="8"/>
      <c r="F38" s="43"/>
      <c r="G38" s="15"/>
      <c r="H38" s="15"/>
      <c r="I38" s="5"/>
    </row>
    <row r="39" spans="1:9" ht="26.25" customHeight="1">
      <c r="A39" s="42" t="s">
        <v>42</v>
      </c>
      <c r="B39" s="379"/>
      <c r="C39" s="379"/>
      <c r="D39" s="58" t="s">
        <v>48</v>
      </c>
      <c r="E39" s="59"/>
      <c r="F39" s="375" t="s">
        <v>43</v>
      </c>
      <c r="G39" s="375"/>
      <c r="H39" s="60"/>
      <c r="I39" s="5"/>
    </row>
    <row r="40" spans="1:9" ht="4.5" customHeight="1">
      <c r="A40" s="48"/>
      <c r="B40" s="45"/>
      <c r="C40" s="45"/>
      <c r="D40" s="45"/>
      <c r="E40" s="8"/>
      <c r="F40" s="43"/>
      <c r="G40" s="15"/>
      <c r="H40" s="15"/>
      <c r="I40" s="5"/>
    </row>
    <row r="41" spans="1:9" ht="22.5" customHeight="1">
      <c r="A41" s="48" t="s">
        <v>44</v>
      </c>
      <c r="B41" s="370"/>
      <c r="C41" s="371"/>
      <c r="D41" s="371"/>
      <c r="E41" s="49"/>
      <c r="G41" s="43" t="s">
        <v>45</v>
      </c>
      <c r="H41" s="50"/>
      <c r="I41" s="5"/>
    </row>
    <row r="42" spans="1:9" ht="6.75" customHeight="1">
      <c r="A42" s="51"/>
      <c r="B42" s="52"/>
      <c r="C42" s="52"/>
      <c r="D42" s="52"/>
      <c r="E42" s="18"/>
      <c r="F42" s="53"/>
      <c r="G42" s="53"/>
      <c r="H42" s="53"/>
      <c r="I42" s="54"/>
    </row>
  </sheetData>
  <mergeCells count="23">
    <mergeCell ref="A8:A9"/>
    <mergeCell ref="B6:D6"/>
    <mergeCell ref="B8:D9"/>
    <mergeCell ref="B31:C31"/>
    <mergeCell ref="B39:C39"/>
    <mergeCell ref="A26:I26"/>
    <mergeCell ref="B29:D29"/>
    <mergeCell ref="G8:H8"/>
    <mergeCell ref="G29:H29"/>
    <mergeCell ref="F31:G31"/>
    <mergeCell ref="B22:D22"/>
    <mergeCell ref="G22:H22"/>
    <mergeCell ref="B24:D24"/>
    <mergeCell ref="B41:D41"/>
    <mergeCell ref="B33:D33"/>
    <mergeCell ref="B37:D37"/>
    <mergeCell ref="G37:H37"/>
    <mergeCell ref="F39:G39"/>
    <mergeCell ref="A2:F2"/>
    <mergeCell ref="H2:I2"/>
    <mergeCell ref="A1:I1"/>
    <mergeCell ref="B4:E4"/>
    <mergeCell ref="G6:H6"/>
  </mergeCells>
  <printOptions horizontalCentered="1"/>
  <pageMargins left="0.45" right="0.45" top="0.5" bottom="0.5" header="0.3" footer="0.3"/>
  <pageSetup scale="8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114300</xdr:colOff>
                    <xdr:row>12</xdr:row>
                    <xdr:rowOff>57150</xdr:rowOff>
                  </from>
                  <to>
                    <xdr:col>0</xdr:col>
                    <xdr:colOff>304800</xdr:colOff>
                    <xdr:row>14</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114300</xdr:colOff>
                    <xdr:row>15</xdr:row>
                    <xdr:rowOff>161925</xdr:rowOff>
                  </from>
                  <to>
                    <xdr:col>0</xdr:col>
                    <xdr:colOff>295275</xdr:colOff>
                    <xdr:row>16</xdr:row>
                    <xdr:rowOff>123825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114300</xdr:colOff>
                    <xdr:row>14</xdr:row>
                    <xdr:rowOff>133350</xdr:rowOff>
                  </from>
                  <to>
                    <xdr:col>0</xdr:col>
                    <xdr:colOff>295275</xdr:colOff>
                    <xdr:row>15</xdr:row>
                    <xdr:rowOff>142875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114300</xdr:colOff>
                    <xdr:row>13</xdr:row>
                    <xdr:rowOff>142875</xdr:rowOff>
                  </from>
                  <to>
                    <xdr:col>0</xdr:col>
                    <xdr:colOff>285750</xdr:colOff>
                    <xdr:row>14</xdr:row>
                    <xdr:rowOff>161925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628650</xdr:colOff>
                    <xdr:row>12</xdr:row>
                    <xdr:rowOff>57150</xdr:rowOff>
                  </from>
                  <to>
                    <xdr:col>3</xdr:col>
                    <xdr:colOff>819150</xdr:colOff>
                    <xdr:row>14</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628650</xdr:colOff>
                    <xdr:row>13</xdr:row>
                    <xdr:rowOff>152400</xdr:rowOff>
                  </from>
                  <to>
                    <xdr:col>3</xdr:col>
                    <xdr:colOff>819150</xdr:colOff>
                    <xdr:row>15</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628650</xdr:colOff>
                    <xdr:row>14</xdr:row>
                    <xdr:rowOff>152400</xdr:rowOff>
                  </from>
                  <to>
                    <xdr:col>3</xdr:col>
                    <xdr:colOff>819150</xdr:colOff>
                    <xdr:row>16</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628650</xdr:colOff>
                    <xdr:row>15</xdr:row>
                    <xdr:rowOff>152400</xdr:rowOff>
                  </from>
                  <to>
                    <xdr:col>3</xdr:col>
                    <xdr:colOff>819150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0"/>
  <sheetViews>
    <sheetView workbookViewId="0">
      <selection activeCell="S17" sqref="S17"/>
    </sheetView>
  </sheetViews>
  <sheetFormatPr defaultRowHeight="12.75"/>
  <cols>
    <col min="1" max="1" width="24.42578125" customWidth="1"/>
    <col min="2" max="2" width="46.7109375" customWidth="1"/>
    <col min="3" max="3" width="11.5703125" customWidth="1"/>
    <col min="4" max="4" width="9.140625" style="114"/>
    <col min="5" max="5" width="26.28515625" customWidth="1"/>
  </cols>
  <sheetData>
    <row r="1" spans="1:6" ht="18">
      <c r="A1" s="147" t="s">
        <v>59</v>
      </c>
    </row>
    <row r="2" spans="1:6" ht="15.75">
      <c r="A2" s="64"/>
    </row>
    <row r="3" spans="1:6" ht="123" customHeight="1">
      <c r="A3" s="386" t="s">
        <v>149</v>
      </c>
      <c r="B3" s="386"/>
      <c r="C3" s="386"/>
      <c r="D3" s="386"/>
    </row>
    <row r="4" spans="1:6" ht="15.75">
      <c r="A4" s="64"/>
    </row>
    <row r="5" spans="1:6" ht="39" customHeight="1">
      <c r="A5" s="386" t="s">
        <v>60</v>
      </c>
      <c r="B5" s="386"/>
      <c r="C5" s="386"/>
      <c r="D5" s="386"/>
    </row>
    <row r="6" spans="1:6" ht="16.5" thickBot="1">
      <c r="A6" s="64"/>
    </row>
    <row r="7" spans="1:6" ht="30.75" thickBot="1">
      <c r="A7" s="134" t="s">
        <v>61</v>
      </c>
      <c r="B7" s="135" t="s">
        <v>62</v>
      </c>
      <c r="C7" s="136" t="s">
        <v>134</v>
      </c>
      <c r="D7" s="115"/>
    </row>
    <row r="8" spans="1:6" ht="15.75" thickBot="1">
      <c r="A8" s="128" t="s">
        <v>88</v>
      </c>
      <c r="B8" s="129" t="s">
        <v>150</v>
      </c>
      <c r="C8" s="130"/>
      <c r="D8" s="111"/>
    </row>
    <row r="9" spans="1:6" ht="15.75" customHeight="1" thickBot="1">
      <c r="A9" s="131" t="s">
        <v>136</v>
      </c>
      <c r="B9" s="129" t="s">
        <v>22</v>
      </c>
      <c r="C9" s="132">
        <v>1</v>
      </c>
      <c r="D9" s="111"/>
      <c r="E9" s="109"/>
      <c r="F9" s="110"/>
    </row>
    <row r="10" spans="1:6" ht="15.75" customHeight="1" thickBot="1">
      <c r="A10" s="128" t="s">
        <v>132</v>
      </c>
      <c r="B10" s="129" t="s">
        <v>63</v>
      </c>
      <c r="C10" s="130">
        <v>1</v>
      </c>
      <c r="D10" s="111"/>
    </row>
    <row r="11" spans="1:6" ht="15.75" customHeight="1" thickBot="1">
      <c r="A11" s="128" t="s">
        <v>64</v>
      </c>
      <c r="B11" s="129" t="s">
        <v>65</v>
      </c>
      <c r="C11" s="130">
        <v>3</v>
      </c>
      <c r="D11" s="111"/>
    </row>
    <row r="12" spans="1:6" ht="15.75" thickBot="1">
      <c r="A12" s="128" t="s">
        <v>66</v>
      </c>
      <c r="B12" s="129" t="s">
        <v>135</v>
      </c>
      <c r="C12" s="130">
        <v>3</v>
      </c>
      <c r="D12" s="111"/>
    </row>
    <row r="13" spans="1:6" ht="15.75" customHeight="1" thickBot="1">
      <c r="A13" s="128" t="s">
        <v>67</v>
      </c>
      <c r="B13" s="129" t="s">
        <v>68</v>
      </c>
      <c r="C13" s="130">
        <v>1</v>
      </c>
      <c r="D13" s="111"/>
    </row>
    <row r="14" spans="1:6" ht="15.75" customHeight="1" thickBot="1">
      <c r="A14" s="128" t="s">
        <v>69</v>
      </c>
      <c r="B14" s="129" t="s">
        <v>70</v>
      </c>
      <c r="C14" s="130">
        <v>1</v>
      </c>
      <c r="D14" s="111"/>
    </row>
    <row r="15" spans="1:6" ht="15" customHeight="1" thickBot="1">
      <c r="A15" s="384" t="s">
        <v>71</v>
      </c>
      <c r="B15" s="384" t="s">
        <v>72</v>
      </c>
      <c r="C15" s="133">
        <v>1</v>
      </c>
      <c r="D15" s="111"/>
    </row>
    <row r="16" spans="1:6" ht="15.75" customHeight="1" thickBot="1">
      <c r="A16" s="385"/>
      <c r="B16" s="385"/>
      <c r="C16" s="130">
        <v>2</v>
      </c>
      <c r="D16" s="111"/>
    </row>
    <row r="17" spans="1:4" ht="15" customHeight="1" thickBot="1">
      <c r="A17" s="384" t="s">
        <v>73</v>
      </c>
      <c r="B17" s="384" t="s">
        <v>74</v>
      </c>
      <c r="C17" s="133">
        <v>1</v>
      </c>
      <c r="D17" s="111"/>
    </row>
    <row r="18" spans="1:4" ht="15.75" customHeight="1" thickBot="1">
      <c r="A18" s="385"/>
      <c r="B18" s="385"/>
      <c r="C18" s="130">
        <v>2</v>
      </c>
      <c r="D18" s="111"/>
    </row>
    <row r="19" spans="1:4" ht="15.75" thickBot="1">
      <c r="A19" s="128" t="s">
        <v>75</v>
      </c>
      <c r="B19" s="129" t="s">
        <v>151</v>
      </c>
      <c r="C19" s="130">
        <v>3</v>
      </c>
      <c r="D19" s="111"/>
    </row>
    <row r="20" spans="1:4" ht="15.75" customHeight="1" thickBot="1">
      <c r="A20" s="128" t="s">
        <v>76</v>
      </c>
      <c r="B20" s="129" t="s">
        <v>77</v>
      </c>
      <c r="C20" s="130">
        <v>1</v>
      </c>
      <c r="D20" s="111"/>
    </row>
    <row r="21" spans="1:4" ht="15.75" customHeight="1" thickBot="1">
      <c r="A21" s="128" t="s">
        <v>78</v>
      </c>
      <c r="B21" s="129" t="s">
        <v>79</v>
      </c>
      <c r="C21" s="130">
        <v>3</v>
      </c>
      <c r="D21" s="111"/>
    </row>
    <row r="22" spans="1:4" ht="15.75" thickBot="1">
      <c r="A22" s="128" t="s">
        <v>80</v>
      </c>
      <c r="B22" s="129" t="s">
        <v>152</v>
      </c>
      <c r="C22" s="130"/>
      <c r="D22" s="111"/>
    </row>
    <row r="23" spans="1:4" ht="15.75" thickBot="1">
      <c r="A23" s="128" t="s">
        <v>81</v>
      </c>
      <c r="B23" s="129" t="s">
        <v>153</v>
      </c>
      <c r="C23" s="130"/>
      <c r="D23" s="111"/>
    </row>
    <row r="24" spans="1:4" ht="15.75" customHeight="1" thickBot="1">
      <c r="A24" s="128" t="s">
        <v>82</v>
      </c>
      <c r="B24" s="129" t="s">
        <v>83</v>
      </c>
      <c r="C24" s="130">
        <v>2</v>
      </c>
      <c r="D24" s="111"/>
    </row>
    <row r="25" spans="1:4" ht="15.75" thickBot="1">
      <c r="A25" s="128" t="s">
        <v>84</v>
      </c>
      <c r="B25" s="129" t="s">
        <v>154</v>
      </c>
      <c r="C25" s="130">
        <v>2</v>
      </c>
      <c r="D25" s="111"/>
    </row>
    <row r="26" spans="1:4" ht="15.75" thickBot="1">
      <c r="A26" s="128" t="s">
        <v>85</v>
      </c>
      <c r="B26" s="129" t="s">
        <v>155</v>
      </c>
      <c r="C26" s="130"/>
      <c r="D26" s="111"/>
    </row>
    <row r="27" spans="1:4" ht="15.75" thickBot="1">
      <c r="A27" s="128" t="s">
        <v>86</v>
      </c>
      <c r="B27" s="129" t="s">
        <v>156</v>
      </c>
      <c r="C27" s="130"/>
      <c r="D27" s="111"/>
    </row>
    <row r="28" spans="1:4" ht="15.75" thickBot="1">
      <c r="A28" s="128" t="s">
        <v>87</v>
      </c>
      <c r="B28" s="129" t="s">
        <v>157</v>
      </c>
      <c r="C28" s="130">
        <v>2</v>
      </c>
      <c r="D28" s="111"/>
    </row>
    <row r="30" spans="1:4" ht="14.25">
      <c r="A30" s="119" t="s">
        <v>133</v>
      </c>
    </row>
  </sheetData>
  <mergeCells count="6">
    <mergeCell ref="A17:A18"/>
    <mergeCell ref="B17:B18"/>
    <mergeCell ref="A3:D3"/>
    <mergeCell ref="A5:D5"/>
    <mergeCell ref="A15:A16"/>
    <mergeCell ref="B15:B16"/>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3</xdr:col>
                    <xdr:colOff>180975</xdr:colOff>
                    <xdr:row>8</xdr:row>
                    <xdr:rowOff>9525</xdr:rowOff>
                  </from>
                  <to>
                    <xdr:col>3</xdr:col>
                    <xdr:colOff>381000</xdr:colOff>
                    <xdr:row>9</xdr:row>
                    <xdr:rowOff>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3</xdr:col>
                    <xdr:colOff>180975</xdr:colOff>
                    <xdr:row>9</xdr:row>
                    <xdr:rowOff>9525</xdr:rowOff>
                  </from>
                  <to>
                    <xdr:col>3</xdr:col>
                    <xdr:colOff>381000</xdr:colOff>
                    <xdr:row>10</xdr:row>
                    <xdr:rowOff>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xdr:col>
                    <xdr:colOff>180975</xdr:colOff>
                    <xdr:row>10</xdr:row>
                    <xdr:rowOff>9525</xdr:rowOff>
                  </from>
                  <to>
                    <xdr:col>3</xdr:col>
                    <xdr:colOff>381000</xdr:colOff>
                    <xdr:row>11</xdr:row>
                    <xdr:rowOff>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180975</xdr:colOff>
                    <xdr:row>11</xdr:row>
                    <xdr:rowOff>9525</xdr:rowOff>
                  </from>
                  <to>
                    <xdr:col>3</xdr:col>
                    <xdr:colOff>381000</xdr:colOff>
                    <xdr:row>12</xdr:row>
                    <xdr:rowOff>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3</xdr:col>
                    <xdr:colOff>180975</xdr:colOff>
                    <xdr:row>12</xdr:row>
                    <xdr:rowOff>9525</xdr:rowOff>
                  </from>
                  <to>
                    <xdr:col>3</xdr:col>
                    <xdr:colOff>381000</xdr:colOff>
                    <xdr:row>13</xdr:row>
                    <xdr:rowOff>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3</xdr:col>
                    <xdr:colOff>180975</xdr:colOff>
                    <xdr:row>13</xdr:row>
                    <xdr:rowOff>9525</xdr:rowOff>
                  </from>
                  <to>
                    <xdr:col>3</xdr:col>
                    <xdr:colOff>381000</xdr:colOff>
                    <xdr:row>14</xdr:row>
                    <xdr:rowOff>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3</xdr:col>
                    <xdr:colOff>180975</xdr:colOff>
                    <xdr:row>14</xdr:row>
                    <xdr:rowOff>9525</xdr:rowOff>
                  </from>
                  <to>
                    <xdr:col>3</xdr:col>
                    <xdr:colOff>381000</xdr:colOff>
                    <xdr:row>15</xdr:row>
                    <xdr:rowOff>9525</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3</xdr:col>
                    <xdr:colOff>180975</xdr:colOff>
                    <xdr:row>15</xdr:row>
                    <xdr:rowOff>9525</xdr:rowOff>
                  </from>
                  <to>
                    <xdr:col>3</xdr:col>
                    <xdr:colOff>381000</xdr:colOff>
                    <xdr:row>16</xdr:row>
                    <xdr:rowOff>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3</xdr:col>
                    <xdr:colOff>180975</xdr:colOff>
                    <xdr:row>16</xdr:row>
                    <xdr:rowOff>9525</xdr:rowOff>
                  </from>
                  <to>
                    <xdr:col>3</xdr:col>
                    <xdr:colOff>381000</xdr:colOff>
                    <xdr:row>17</xdr:row>
                    <xdr:rowOff>9525</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3</xdr:col>
                    <xdr:colOff>180975</xdr:colOff>
                    <xdr:row>17</xdr:row>
                    <xdr:rowOff>9525</xdr:rowOff>
                  </from>
                  <to>
                    <xdr:col>3</xdr:col>
                    <xdr:colOff>381000</xdr:colOff>
                    <xdr:row>18</xdr:row>
                    <xdr:rowOff>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3</xdr:col>
                    <xdr:colOff>180975</xdr:colOff>
                    <xdr:row>18</xdr:row>
                    <xdr:rowOff>9525</xdr:rowOff>
                  </from>
                  <to>
                    <xdr:col>3</xdr:col>
                    <xdr:colOff>381000</xdr:colOff>
                    <xdr:row>19</xdr:row>
                    <xdr:rowOff>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3</xdr:col>
                    <xdr:colOff>180975</xdr:colOff>
                    <xdr:row>19</xdr:row>
                    <xdr:rowOff>9525</xdr:rowOff>
                  </from>
                  <to>
                    <xdr:col>3</xdr:col>
                    <xdr:colOff>381000</xdr:colOff>
                    <xdr:row>20</xdr:row>
                    <xdr:rowOff>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3</xdr:col>
                    <xdr:colOff>180975</xdr:colOff>
                    <xdr:row>20</xdr:row>
                    <xdr:rowOff>9525</xdr:rowOff>
                  </from>
                  <to>
                    <xdr:col>3</xdr:col>
                    <xdr:colOff>381000</xdr:colOff>
                    <xdr:row>21</xdr:row>
                    <xdr:rowOff>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3</xdr:col>
                    <xdr:colOff>180975</xdr:colOff>
                    <xdr:row>21</xdr:row>
                    <xdr:rowOff>9525</xdr:rowOff>
                  </from>
                  <to>
                    <xdr:col>3</xdr:col>
                    <xdr:colOff>381000</xdr:colOff>
                    <xdr:row>22</xdr:row>
                    <xdr:rowOff>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3</xdr:col>
                    <xdr:colOff>180975</xdr:colOff>
                    <xdr:row>22</xdr:row>
                    <xdr:rowOff>9525</xdr:rowOff>
                  </from>
                  <to>
                    <xdr:col>3</xdr:col>
                    <xdr:colOff>381000</xdr:colOff>
                    <xdr:row>23</xdr:row>
                    <xdr:rowOff>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3</xdr:col>
                    <xdr:colOff>180975</xdr:colOff>
                    <xdr:row>23</xdr:row>
                    <xdr:rowOff>9525</xdr:rowOff>
                  </from>
                  <to>
                    <xdr:col>3</xdr:col>
                    <xdr:colOff>381000</xdr:colOff>
                    <xdr:row>24</xdr:row>
                    <xdr:rowOff>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3</xdr:col>
                    <xdr:colOff>180975</xdr:colOff>
                    <xdr:row>24</xdr:row>
                    <xdr:rowOff>9525</xdr:rowOff>
                  </from>
                  <to>
                    <xdr:col>3</xdr:col>
                    <xdr:colOff>381000</xdr:colOff>
                    <xdr:row>25</xdr:row>
                    <xdr:rowOff>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3</xdr:col>
                    <xdr:colOff>180975</xdr:colOff>
                    <xdr:row>25</xdr:row>
                    <xdr:rowOff>9525</xdr:rowOff>
                  </from>
                  <to>
                    <xdr:col>3</xdr:col>
                    <xdr:colOff>381000</xdr:colOff>
                    <xdr:row>26</xdr:row>
                    <xdr:rowOff>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3</xdr:col>
                    <xdr:colOff>180975</xdr:colOff>
                    <xdr:row>26</xdr:row>
                    <xdr:rowOff>9525</xdr:rowOff>
                  </from>
                  <to>
                    <xdr:col>3</xdr:col>
                    <xdr:colOff>381000</xdr:colOff>
                    <xdr:row>27</xdr:row>
                    <xdr:rowOff>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3</xdr:col>
                    <xdr:colOff>180975</xdr:colOff>
                    <xdr:row>27</xdr:row>
                    <xdr:rowOff>9525</xdr:rowOff>
                  </from>
                  <to>
                    <xdr:col>3</xdr:col>
                    <xdr:colOff>381000</xdr:colOff>
                    <xdr:row>28</xdr:row>
                    <xdr:rowOff>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3</xdr:col>
                    <xdr:colOff>180975</xdr:colOff>
                    <xdr:row>7</xdr:row>
                    <xdr:rowOff>9525</xdr:rowOff>
                  </from>
                  <to>
                    <xdr:col>3</xdr:col>
                    <xdr:colOff>381000</xdr:colOff>
                    <xdr:row>8</xdr:row>
                    <xdr:rowOff>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3</xdr:col>
                    <xdr:colOff>180975</xdr:colOff>
                    <xdr:row>6</xdr:row>
                    <xdr:rowOff>47625</xdr:rowOff>
                  </from>
                  <to>
                    <xdr:col>3</xdr:col>
                    <xdr:colOff>428625</xdr:colOff>
                    <xdr:row>6</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zoomScaleNormal="100" workbookViewId="0">
      <selection activeCell="F13" sqref="F13"/>
    </sheetView>
  </sheetViews>
  <sheetFormatPr defaultRowHeight="12.75"/>
  <cols>
    <col min="1" max="1" width="21.42578125" style="83" customWidth="1"/>
    <col min="2" max="2" width="8.140625" style="83" bestFit="1" customWidth="1"/>
    <col min="3" max="4" width="11.42578125" style="83" customWidth="1"/>
    <col min="5" max="5" width="12.85546875" style="83" customWidth="1"/>
    <col min="6" max="6" width="11.5703125" style="83" customWidth="1"/>
    <col min="7" max="7" width="12.7109375" style="83" customWidth="1"/>
    <col min="8" max="8" width="11.7109375" style="83" customWidth="1"/>
    <col min="9" max="9" width="11.5703125" style="83" customWidth="1"/>
    <col min="10" max="14" width="12.42578125" style="83" bestFit="1" customWidth="1"/>
    <col min="15" max="15" width="13.42578125" style="83" customWidth="1"/>
    <col min="16" max="16" width="11.42578125" style="83" bestFit="1" customWidth="1"/>
    <col min="17" max="17" width="16.42578125" style="83" bestFit="1" customWidth="1"/>
    <col min="18" max="18" width="12.42578125" style="83" bestFit="1" customWidth="1"/>
    <col min="19" max="19" width="10.140625" style="83" customWidth="1"/>
    <col min="20" max="20" width="12" style="83" bestFit="1" customWidth="1"/>
    <col min="21" max="16384" width="9.140625" style="83"/>
  </cols>
  <sheetData>
    <row r="1" spans="1:20" ht="18">
      <c r="A1" s="137" t="s">
        <v>89</v>
      </c>
    </row>
    <row r="2" spans="1:20" ht="23.25">
      <c r="A2" s="264"/>
    </row>
    <row r="3" spans="1:20" ht="14.25">
      <c r="A3" s="265" t="s">
        <v>90</v>
      </c>
    </row>
    <row r="5" spans="1:20" ht="51">
      <c r="A5" s="266" t="s">
        <v>0</v>
      </c>
      <c r="B5" s="267" t="s">
        <v>1</v>
      </c>
      <c r="C5" s="268" t="s">
        <v>7</v>
      </c>
      <c r="D5" s="268" t="s">
        <v>8</v>
      </c>
      <c r="E5" s="268" t="s">
        <v>9</v>
      </c>
      <c r="F5" s="268" t="s">
        <v>10</v>
      </c>
      <c r="G5" s="268" t="s">
        <v>2</v>
      </c>
      <c r="H5" s="268" t="s">
        <v>11</v>
      </c>
      <c r="I5" s="268" t="s">
        <v>12</v>
      </c>
      <c r="J5" s="268" t="s">
        <v>13</v>
      </c>
      <c r="K5" s="268" t="s">
        <v>179</v>
      </c>
      <c r="L5" s="268" t="s">
        <v>15</v>
      </c>
      <c r="M5" s="268" t="s">
        <v>16</v>
      </c>
      <c r="N5" s="268" t="s">
        <v>17</v>
      </c>
      <c r="O5" s="268" t="s">
        <v>21</v>
      </c>
      <c r="P5" s="269" t="s">
        <v>25</v>
      </c>
      <c r="Q5" s="269" t="s">
        <v>26</v>
      </c>
      <c r="R5" s="270" t="s">
        <v>123</v>
      </c>
      <c r="S5" s="270" t="s">
        <v>27</v>
      </c>
      <c r="T5" s="270" t="s">
        <v>52</v>
      </c>
    </row>
    <row r="6" spans="1:20" ht="25.5">
      <c r="A6" s="271" t="s">
        <v>22</v>
      </c>
      <c r="B6" s="268" t="s">
        <v>110</v>
      </c>
      <c r="C6" s="272"/>
      <c r="D6" s="272"/>
      <c r="E6" s="272"/>
      <c r="F6" s="272"/>
      <c r="G6" s="272"/>
      <c r="H6" s="272"/>
      <c r="I6" s="272"/>
      <c r="J6" s="272"/>
      <c r="K6" s="272"/>
      <c r="L6" s="272"/>
      <c r="M6" s="272"/>
      <c r="N6" s="272"/>
      <c r="O6" s="307">
        <f t="shared" ref="O6" si="0">SUM(C6:N6)</f>
        <v>0</v>
      </c>
      <c r="P6" s="307">
        <f>SUM(O6/365)</f>
        <v>0</v>
      </c>
      <c r="Q6" s="309">
        <f t="shared" ref="Q6:Q7" si="1">SUM(O6/12)</f>
        <v>0</v>
      </c>
      <c r="R6" s="273"/>
      <c r="S6" s="274"/>
      <c r="T6" s="305"/>
    </row>
    <row r="7" spans="1:20" ht="33" customHeight="1">
      <c r="A7" s="271" t="s">
        <v>24</v>
      </c>
      <c r="B7" s="268" t="s">
        <v>110</v>
      </c>
      <c r="C7" s="272"/>
      <c r="D7" s="272"/>
      <c r="E7" s="272"/>
      <c r="F7" s="272"/>
      <c r="G7" s="272"/>
      <c r="H7" s="272"/>
      <c r="I7" s="272"/>
      <c r="J7" s="272"/>
      <c r="K7" s="272"/>
      <c r="L7" s="272"/>
      <c r="M7" s="272"/>
      <c r="N7" s="272"/>
      <c r="O7" s="307">
        <f>SUM(C7:N7)</f>
        <v>0</v>
      </c>
      <c r="P7" s="307">
        <f>SUM(O7/365)</f>
        <v>0</v>
      </c>
      <c r="Q7" s="307">
        <f t="shared" si="1"/>
        <v>0</v>
      </c>
      <c r="R7" s="272" t="s">
        <v>125</v>
      </c>
      <c r="S7" s="275"/>
      <c r="T7" s="305"/>
    </row>
    <row r="8" spans="1:20" ht="25.5">
      <c r="A8" s="271" t="s">
        <v>4</v>
      </c>
      <c r="B8" s="268" t="s">
        <v>5</v>
      </c>
      <c r="C8" s="276"/>
      <c r="D8" s="276"/>
      <c r="E8" s="276"/>
      <c r="F8" s="276"/>
      <c r="G8" s="276"/>
      <c r="H8" s="276"/>
      <c r="I8" s="276"/>
      <c r="J8" s="276"/>
      <c r="K8" s="276"/>
      <c r="L8" s="276"/>
      <c r="M8" s="276"/>
      <c r="N8" s="276"/>
      <c r="O8" s="305"/>
      <c r="P8" s="305"/>
      <c r="Q8" s="310" t="e">
        <f>AVERAGE(Effluent_N_Conc)</f>
        <v>#DIV/0!</v>
      </c>
      <c r="R8" s="305"/>
      <c r="S8" s="305"/>
      <c r="T8" s="305"/>
    </row>
    <row r="9" spans="1:20" ht="25.5">
      <c r="A9" s="271" t="s">
        <v>18</v>
      </c>
      <c r="B9" s="268" t="s">
        <v>5</v>
      </c>
      <c r="C9" s="276"/>
      <c r="D9" s="276"/>
      <c r="E9" s="276"/>
      <c r="F9" s="276"/>
      <c r="G9" s="276"/>
      <c r="H9" s="276"/>
      <c r="I9" s="276"/>
      <c r="J9" s="276"/>
      <c r="K9" s="276"/>
      <c r="L9" s="276"/>
      <c r="M9" s="276"/>
      <c r="N9" s="276"/>
      <c r="O9" s="305"/>
      <c r="P9" s="305"/>
      <c r="Q9" s="308" t="e">
        <f>AVERAGE(Effluent_Ammonia_Conc)</f>
        <v>#DIV/0!</v>
      </c>
      <c r="R9" s="305"/>
      <c r="S9" s="305"/>
      <c r="T9" s="305"/>
    </row>
    <row r="10" spans="1:20" ht="25.5">
      <c r="A10" s="271" t="s">
        <v>19</v>
      </c>
      <c r="B10" s="268" t="s">
        <v>5</v>
      </c>
      <c r="C10" s="276"/>
      <c r="D10" s="276"/>
      <c r="E10" s="276"/>
      <c r="F10" s="276"/>
      <c r="G10" s="276"/>
      <c r="H10" s="276"/>
      <c r="I10" s="276"/>
      <c r="J10" s="276"/>
      <c r="K10" s="276"/>
      <c r="L10" s="276"/>
      <c r="M10" s="276"/>
      <c r="N10" s="276"/>
      <c r="O10" s="305"/>
      <c r="P10" s="305"/>
      <c r="Q10" s="308" t="e">
        <f>AVERAGE(Effluent_P_Conc)</f>
        <v>#DIV/0!</v>
      </c>
      <c r="R10" s="305"/>
      <c r="S10" s="311"/>
      <c r="T10" s="305"/>
    </row>
    <row r="11" spans="1:20">
      <c r="A11" s="277" t="s">
        <v>141</v>
      </c>
      <c r="B11" s="268" t="s">
        <v>5</v>
      </c>
      <c r="C11" s="276"/>
      <c r="D11" s="276"/>
      <c r="E11" s="276"/>
      <c r="F11" s="276"/>
      <c r="G11" s="276"/>
      <c r="H11" s="276"/>
      <c r="I11" s="276"/>
      <c r="J11" s="276"/>
      <c r="K11" s="276"/>
      <c r="L11" s="276"/>
      <c r="M11" s="276"/>
      <c r="N11" s="276"/>
      <c r="O11" s="305"/>
      <c r="P11" s="305"/>
      <c r="Q11" s="308" t="e">
        <f>AVERAGE(C11:N11)</f>
        <v>#DIV/0!</v>
      </c>
      <c r="R11" s="305"/>
      <c r="S11" s="278"/>
      <c r="T11" s="305"/>
    </row>
    <row r="12" spans="1:20" ht="14.25">
      <c r="A12" s="277" t="s">
        <v>98</v>
      </c>
      <c r="B12" s="268" t="s">
        <v>5</v>
      </c>
      <c r="C12" s="276"/>
      <c r="D12" s="276"/>
      <c r="E12" s="276"/>
      <c r="F12" s="276"/>
      <c r="G12" s="276"/>
      <c r="H12" s="276"/>
      <c r="I12" s="276"/>
      <c r="J12" s="276"/>
      <c r="K12" s="276"/>
      <c r="L12" s="276"/>
      <c r="M12" s="276"/>
      <c r="N12" s="276"/>
      <c r="O12" s="305"/>
      <c r="P12" s="305"/>
      <c r="Q12" s="308" t="e">
        <f>AVERAGE(C12:N12)</f>
        <v>#DIV/0!</v>
      </c>
      <c r="R12" s="305"/>
      <c r="S12" s="278"/>
      <c r="T12" s="305"/>
    </row>
    <row r="13" spans="1:20" ht="38.25">
      <c r="A13" s="271" t="s">
        <v>99</v>
      </c>
      <c r="B13" s="269" t="s">
        <v>116</v>
      </c>
      <c r="C13" s="279"/>
      <c r="D13" s="280"/>
      <c r="E13" s="280"/>
      <c r="F13" s="280"/>
      <c r="G13" s="280"/>
      <c r="H13" s="280"/>
      <c r="I13" s="280"/>
      <c r="J13" s="280"/>
      <c r="K13" s="280"/>
      <c r="L13" s="280"/>
      <c r="M13" s="280"/>
      <c r="N13" s="280"/>
      <c r="O13" s="308">
        <f>IF(COUNT(Monthly_Total_Precipitation_in)&gt;0,SUM(C13:N13),0)</f>
        <v>0</v>
      </c>
      <c r="P13" s="305"/>
      <c r="Q13" s="308" t="e">
        <f t="shared" ref="Q13" si="2">AVERAGE(C13:N13)</f>
        <v>#DIV/0!</v>
      </c>
      <c r="R13" s="305"/>
      <c r="S13" s="305"/>
      <c r="T13" s="305"/>
    </row>
    <row r="14" spans="1:20" ht="38.25">
      <c r="A14" s="271" t="s">
        <v>126</v>
      </c>
      <c r="B14" s="268" t="s">
        <v>23</v>
      </c>
      <c r="C14" s="280"/>
      <c r="D14" s="280"/>
      <c r="E14" s="280"/>
      <c r="F14" s="280"/>
      <c r="G14" s="280"/>
      <c r="H14" s="280"/>
      <c r="I14" s="280"/>
      <c r="J14" s="280"/>
      <c r="K14" s="280"/>
      <c r="L14" s="280"/>
      <c r="M14" s="280"/>
      <c r="N14" s="280"/>
      <c r="O14" s="305"/>
      <c r="P14" s="305"/>
      <c r="Q14" s="305"/>
      <c r="R14" s="305"/>
      <c r="S14" s="306"/>
      <c r="T14" s="276"/>
    </row>
    <row r="15" spans="1:20" ht="38.25">
      <c r="A15" s="271" t="s">
        <v>28</v>
      </c>
      <c r="B15" s="268" t="s">
        <v>23</v>
      </c>
      <c r="C15" s="280"/>
      <c r="D15" s="280"/>
      <c r="E15" s="280"/>
      <c r="F15" s="280"/>
      <c r="G15" s="280"/>
      <c r="H15" s="280"/>
      <c r="I15" s="280"/>
      <c r="J15" s="280"/>
      <c r="K15" s="280"/>
      <c r="L15" s="280"/>
      <c r="M15" s="280"/>
      <c r="N15" s="280"/>
      <c r="O15" s="305"/>
      <c r="P15" s="308"/>
      <c r="Q15" s="305"/>
      <c r="R15" s="305"/>
      <c r="S15" s="305"/>
      <c r="T15" s="276"/>
    </row>
    <row r="16" spans="1:20" ht="38.25">
      <c r="A16" s="281" t="s">
        <v>120</v>
      </c>
      <c r="B16" s="268" t="s">
        <v>122</v>
      </c>
      <c r="C16" s="305"/>
      <c r="D16" s="305"/>
      <c r="E16" s="305"/>
      <c r="F16" s="305"/>
      <c r="G16" s="305"/>
      <c r="H16" s="305"/>
      <c r="I16" s="305"/>
      <c r="J16" s="305"/>
      <c r="K16" s="305"/>
      <c r="L16" s="305"/>
      <c r="M16" s="305"/>
      <c r="N16" s="305"/>
      <c r="O16" s="282"/>
      <c r="P16" s="305"/>
      <c r="Q16" s="305"/>
      <c r="R16" s="305"/>
      <c r="S16" s="305"/>
      <c r="T16" s="305"/>
    </row>
    <row r="18" spans="1:19" ht="15" customHeight="1">
      <c r="A18" s="283" t="s">
        <v>139</v>
      </c>
    </row>
    <row r="19" spans="1:19" ht="15" customHeight="1">
      <c r="A19" s="283" t="s">
        <v>138</v>
      </c>
    </row>
    <row r="20" spans="1:19" ht="15" customHeight="1">
      <c r="A20" s="387" t="s">
        <v>140</v>
      </c>
      <c r="B20" s="387"/>
      <c r="C20" s="387"/>
      <c r="D20" s="387"/>
      <c r="E20" s="387"/>
      <c r="F20" s="387"/>
      <c r="G20" s="387"/>
      <c r="H20" s="387"/>
      <c r="I20" s="387"/>
      <c r="J20" s="387"/>
      <c r="K20" s="387"/>
      <c r="L20" s="387"/>
      <c r="M20" s="387"/>
      <c r="N20" s="387"/>
      <c r="O20" s="387"/>
      <c r="P20" s="387"/>
      <c r="Q20" s="387"/>
      <c r="R20" s="387"/>
      <c r="S20" s="387"/>
    </row>
    <row r="21" spans="1:19">
      <c r="A21" s="83" t="s">
        <v>320</v>
      </c>
    </row>
    <row r="22" spans="1:19" ht="12.75" customHeight="1"/>
    <row r="23" spans="1:19">
      <c r="A23" s="388" t="s">
        <v>137</v>
      </c>
      <c r="B23" s="388"/>
      <c r="C23" s="388"/>
      <c r="D23" s="388"/>
      <c r="E23" s="388"/>
      <c r="F23" s="388"/>
      <c r="G23" s="388"/>
      <c r="H23" s="388"/>
      <c r="I23" s="388"/>
      <c r="J23" s="388"/>
      <c r="K23" s="388"/>
      <c r="L23" s="388"/>
      <c r="M23" s="388"/>
      <c r="N23" s="388"/>
      <c r="O23" s="388"/>
      <c r="P23" s="388"/>
      <c r="Q23" s="388"/>
      <c r="R23" s="388"/>
      <c r="S23" s="388"/>
    </row>
    <row r="24" spans="1:19">
      <c r="A24" s="112"/>
    </row>
    <row r="25" spans="1:19" hidden="1"/>
    <row r="26" spans="1:19" ht="15.75" hidden="1">
      <c r="A26" s="284" t="s">
        <v>112</v>
      </c>
      <c r="B26" s="285" t="s">
        <v>1</v>
      </c>
      <c r="C26" s="286" t="s">
        <v>7</v>
      </c>
      <c r="D26" s="286" t="s">
        <v>8</v>
      </c>
      <c r="E26" s="286" t="s">
        <v>9</v>
      </c>
      <c r="F26" s="286" t="s">
        <v>10</v>
      </c>
      <c r="G26" s="286" t="s">
        <v>2</v>
      </c>
      <c r="H26" s="286" t="s">
        <v>11</v>
      </c>
      <c r="I26" s="286" t="s">
        <v>12</v>
      </c>
      <c r="J26" s="286" t="s">
        <v>13</v>
      </c>
      <c r="K26" s="286" t="s">
        <v>14</v>
      </c>
      <c r="L26" s="286" t="s">
        <v>15</v>
      </c>
      <c r="M26" s="286" t="s">
        <v>16</v>
      </c>
      <c r="N26" s="287" t="s">
        <v>17</v>
      </c>
      <c r="O26" s="288" t="s">
        <v>109</v>
      </c>
    </row>
    <row r="27" spans="1:19" hidden="1">
      <c r="A27" s="289" t="s">
        <v>118</v>
      </c>
      <c r="B27" s="290" t="s">
        <v>110</v>
      </c>
      <c r="C27" s="291">
        <f>C6</f>
        <v>0</v>
      </c>
      <c r="D27" s="292">
        <f t="shared" ref="D27:N27" si="3">D6</f>
        <v>0</v>
      </c>
      <c r="E27" s="292">
        <f t="shared" si="3"/>
        <v>0</v>
      </c>
      <c r="F27" s="292">
        <f t="shared" si="3"/>
        <v>0</v>
      </c>
      <c r="G27" s="292">
        <f t="shared" si="3"/>
        <v>0</v>
      </c>
      <c r="H27" s="292">
        <f t="shared" si="3"/>
        <v>0</v>
      </c>
      <c r="I27" s="292">
        <f t="shared" si="3"/>
        <v>0</v>
      </c>
      <c r="J27" s="292">
        <f t="shared" si="3"/>
        <v>0</v>
      </c>
      <c r="K27" s="292">
        <f t="shared" si="3"/>
        <v>0</v>
      </c>
      <c r="L27" s="292">
        <f t="shared" si="3"/>
        <v>0</v>
      </c>
      <c r="M27" s="292">
        <f t="shared" si="3"/>
        <v>0</v>
      </c>
      <c r="N27" s="292">
        <f t="shared" si="3"/>
        <v>0</v>
      </c>
      <c r="O27" s="293">
        <f>SUM(C27:N27)</f>
        <v>0</v>
      </c>
    </row>
    <row r="28" spans="1:19" hidden="1">
      <c r="A28" s="289" t="s">
        <v>119</v>
      </c>
      <c r="B28" s="294" t="s">
        <v>110</v>
      </c>
      <c r="C28" s="295">
        <f>C7</f>
        <v>0</v>
      </c>
      <c r="D28" s="296">
        <f t="shared" ref="D28:N28" si="4">D7</f>
        <v>0</v>
      </c>
      <c r="E28" s="296">
        <f t="shared" si="4"/>
        <v>0</v>
      </c>
      <c r="F28" s="296">
        <f t="shared" si="4"/>
        <v>0</v>
      </c>
      <c r="G28" s="296">
        <f t="shared" si="4"/>
        <v>0</v>
      </c>
      <c r="H28" s="296">
        <f t="shared" si="4"/>
        <v>0</v>
      </c>
      <c r="I28" s="296">
        <f t="shared" si="4"/>
        <v>0</v>
      </c>
      <c r="J28" s="296">
        <f t="shared" si="4"/>
        <v>0</v>
      </c>
      <c r="K28" s="296">
        <f t="shared" si="4"/>
        <v>0</v>
      </c>
      <c r="L28" s="296">
        <f t="shared" si="4"/>
        <v>0</v>
      </c>
      <c r="M28" s="296">
        <f t="shared" si="4"/>
        <v>0</v>
      </c>
      <c r="N28" s="296">
        <f t="shared" si="4"/>
        <v>0</v>
      </c>
      <c r="O28" s="297">
        <f t="shared" ref="O28:O31" si="5">SUM(C28:N28)</f>
        <v>0</v>
      </c>
    </row>
    <row r="29" spans="1:19" ht="76.5" hidden="1">
      <c r="A29" s="289" t="s">
        <v>113</v>
      </c>
      <c r="B29" s="294" t="s">
        <v>110</v>
      </c>
      <c r="C29" s="295" t="e">
        <f t="shared" ref="C29:N29" si="6">C13*B16*27154</f>
        <v>#VALUE!</v>
      </c>
      <c r="D29" s="296">
        <f t="shared" si="6"/>
        <v>0</v>
      </c>
      <c r="E29" s="296">
        <f t="shared" si="6"/>
        <v>0</v>
      </c>
      <c r="F29" s="296">
        <f t="shared" si="6"/>
        <v>0</v>
      </c>
      <c r="G29" s="296">
        <f t="shared" si="6"/>
        <v>0</v>
      </c>
      <c r="H29" s="296">
        <f t="shared" si="6"/>
        <v>0</v>
      </c>
      <c r="I29" s="296">
        <f t="shared" si="6"/>
        <v>0</v>
      </c>
      <c r="J29" s="296">
        <f t="shared" si="6"/>
        <v>0</v>
      </c>
      <c r="K29" s="296">
        <f t="shared" si="6"/>
        <v>0</v>
      </c>
      <c r="L29" s="296">
        <f t="shared" si="6"/>
        <v>0</v>
      </c>
      <c r="M29" s="296">
        <f t="shared" si="6"/>
        <v>0</v>
      </c>
      <c r="N29" s="296">
        <f t="shared" si="6"/>
        <v>0</v>
      </c>
      <c r="O29" s="298" t="e">
        <f t="shared" si="5"/>
        <v>#VALUE!</v>
      </c>
    </row>
    <row r="30" spans="1:19" ht="76.5" hidden="1">
      <c r="A30" s="289" t="s">
        <v>114</v>
      </c>
      <c r="B30" s="294" t="s">
        <v>110</v>
      </c>
      <c r="C30" s="295" t="e">
        <f>#REF!*'Wrksht 1'!B16*27154</f>
        <v>#REF!</v>
      </c>
      <c r="D30" s="296" t="e">
        <f>#REF!*'Wrksht 1'!C16*27154</f>
        <v>#REF!</v>
      </c>
      <c r="E30" s="296" t="e">
        <f>#REF!*'Wrksht 1'!D16*27154</f>
        <v>#REF!</v>
      </c>
      <c r="F30" s="296" t="e">
        <f>#REF!*'Wrksht 1'!E16*27154</f>
        <v>#REF!</v>
      </c>
      <c r="G30" s="296" t="e">
        <f>#REF!*'Wrksht 1'!F16*27154</f>
        <v>#REF!</v>
      </c>
      <c r="H30" s="296" t="e">
        <f>#REF!*'Wrksht 1'!G16*27154</f>
        <v>#REF!</v>
      </c>
      <c r="I30" s="296" t="e">
        <f>#REF!*'Wrksht 1'!H16*27154</f>
        <v>#REF!</v>
      </c>
      <c r="J30" s="296" t="e">
        <f>#REF!*'Wrksht 1'!I16*27154</f>
        <v>#REF!</v>
      </c>
      <c r="K30" s="296" t="e">
        <f>#REF!*'Wrksht 1'!J16*27154</f>
        <v>#REF!</v>
      </c>
      <c r="L30" s="296" t="e">
        <f>#REF!*'Wrksht 1'!K16*27154</f>
        <v>#REF!</v>
      </c>
      <c r="M30" s="296" t="e">
        <f>#REF!*'Wrksht 1'!L16*27154</f>
        <v>#REF!</v>
      </c>
      <c r="N30" s="296" t="e">
        <f>#REF!*'Wrksht 1'!M16*27154</f>
        <v>#REF!</v>
      </c>
      <c r="O30" s="298" t="e">
        <f t="shared" si="5"/>
        <v>#REF!</v>
      </c>
    </row>
    <row r="31" spans="1:19" hidden="1">
      <c r="A31" s="289" t="s">
        <v>115</v>
      </c>
      <c r="B31" s="294" t="s">
        <v>110</v>
      </c>
      <c r="C31" s="295" t="e">
        <f>IF(C27+C29-C28-C30&gt;0,C27+C29-C28-C30,0)</f>
        <v>#VALUE!</v>
      </c>
      <c r="D31" s="296" t="e">
        <f t="shared" ref="D31:N31" si="7">IF(D27+D29-D28-D30&gt;0,D27+D29-D28-D30,0)</f>
        <v>#REF!</v>
      </c>
      <c r="E31" s="296" t="e">
        <f t="shared" si="7"/>
        <v>#REF!</v>
      </c>
      <c r="F31" s="296" t="e">
        <f t="shared" si="7"/>
        <v>#REF!</v>
      </c>
      <c r="G31" s="296" t="e">
        <f t="shared" si="7"/>
        <v>#REF!</v>
      </c>
      <c r="H31" s="296" t="e">
        <f t="shared" si="7"/>
        <v>#REF!</v>
      </c>
      <c r="I31" s="296" t="e">
        <f t="shared" si="7"/>
        <v>#REF!</v>
      </c>
      <c r="J31" s="296" t="e">
        <f t="shared" si="7"/>
        <v>#REF!</v>
      </c>
      <c r="K31" s="296" t="e">
        <f t="shared" si="7"/>
        <v>#REF!</v>
      </c>
      <c r="L31" s="296" t="e">
        <f t="shared" si="7"/>
        <v>#REF!</v>
      </c>
      <c r="M31" s="296" t="e">
        <f t="shared" si="7"/>
        <v>#REF!</v>
      </c>
      <c r="N31" s="296" t="e">
        <f t="shared" si="7"/>
        <v>#REF!</v>
      </c>
      <c r="O31" s="298" t="e">
        <f t="shared" si="5"/>
        <v>#VALUE!</v>
      </c>
    </row>
    <row r="32" spans="1:19" ht="25.5" hidden="1">
      <c r="A32" s="299" t="s">
        <v>121</v>
      </c>
      <c r="B32" s="300" t="s">
        <v>110</v>
      </c>
      <c r="C32" s="301" t="e">
        <f>N32+C31</f>
        <v>#REF!</v>
      </c>
      <c r="D32" s="302" t="e">
        <f>C32+D31</f>
        <v>#REF!</v>
      </c>
      <c r="E32" s="302" t="e">
        <f t="shared" ref="E32:K32" si="8">D32+E31</f>
        <v>#REF!</v>
      </c>
      <c r="F32" s="302" t="e">
        <f t="shared" si="8"/>
        <v>#REF!</v>
      </c>
      <c r="G32" s="302" t="e">
        <f t="shared" si="8"/>
        <v>#REF!</v>
      </c>
      <c r="H32" s="302" t="e">
        <f t="shared" si="8"/>
        <v>#REF!</v>
      </c>
      <c r="I32" s="302" t="e">
        <f t="shared" si="8"/>
        <v>#REF!</v>
      </c>
      <c r="J32" s="302" t="e">
        <f t="shared" si="8"/>
        <v>#REF!</v>
      </c>
      <c r="K32" s="302" t="e">
        <f t="shared" si="8"/>
        <v>#REF!</v>
      </c>
      <c r="L32" s="302" t="e">
        <f>L31</f>
        <v>#REF!</v>
      </c>
      <c r="M32" s="302" t="e">
        <f>L32+M31</f>
        <v>#REF!</v>
      </c>
      <c r="N32" s="302" t="e">
        <f>M32+N31</f>
        <v>#REF!</v>
      </c>
      <c r="O32" s="303"/>
    </row>
    <row r="33" spans="1:1">
      <c r="A33" s="112"/>
    </row>
    <row r="34" spans="1:1">
      <c r="A34" s="304" t="s">
        <v>125</v>
      </c>
    </row>
    <row r="35" spans="1:1">
      <c r="A35" s="112"/>
    </row>
    <row r="37" spans="1:1">
      <c r="A37" s="112"/>
    </row>
  </sheetData>
  <sheetProtection algorithmName="SHA-512" hashValue="NsdtDLGSkhQBGLjzrDnmn/OmtxoY8CQUxm0IaHZRh1TDtTB3mqimbwNl4OCdH1ffxRa00NO8XNcaUAHIDdO2Rw==" saltValue="hA+iEyUVONeD5bECeg0Nuw==" spinCount="100000" sheet="1" objects="1" scenarios="1" selectLockedCells="1"/>
  <mergeCells count="2">
    <mergeCell ref="A20:S20"/>
    <mergeCell ref="A23:S23"/>
  </mergeCells>
  <pageMargins left="0.25" right="0.2" top="0.75" bottom="0.25" header="0.3" footer="0.3"/>
  <pageSetup scale="5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46"/>
  <sheetViews>
    <sheetView workbookViewId="0">
      <selection activeCell="B1" sqref="B1"/>
    </sheetView>
  </sheetViews>
  <sheetFormatPr defaultRowHeight="12.75"/>
  <cols>
    <col min="1" max="1" width="18.140625" style="83" customWidth="1"/>
    <col min="2" max="2" width="10.85546875" style="83" customWidth="1"/>
    <col min="3" max="11" width="13.42578125" style="83" customWidth="1"/>
    <col min="12" max="12" width="14.85546875" style="83" customWidth="1"/>
    <col min="13" max="13" width="13.42578125" style="83" customWidth="1"/>
    <col min="14" max="14" width="14.140625" style="83" customWidth="1"/>
    <col min="15" max="15" width="14.28515625" style="83" customWidth="1"/>
    <col min="16" max="16" width="15.7109375" style="83" customWidth="1"/>
    <col min="17" max="17" width="15.5703125" style="83" customWidth="1"/>
    <col min="18" max="18" width="16" style="83" customWidth="1"/>
    <col min="19" max="19" width="12.42578125" style="83" bestFit="1" customWidth="1"/>
    <col min="20" max="20" width="9.140625" style="83"/>
    <col min="21" max="21" width="23.28515625" style="83" bestFit="1" customWidth="1"/>
    <col min="22" max="16384" width="9.140625" style="83"/>
  </cols>
  <sheetData>
    <row r="1" spans="1:20" ht="51">
      <c r="A1" s="137" t="s">
        <v>91</v>
      </c>
      <c r="C1" s="82"/>
      <c r="N1" s="206" t="s">
        <v>273</v>
      </c>
      <c r="O1" s="206" t="s">
        <v>272</v>
      </c>
      <c r="P1" s="206" t="s">
        <v>323</v>
      </c>
      <c r="Q1" s="206" t="s">
        <v>324</v>
      </c>
      <c r="R1"/>
      <c r="S1"/>
    </row>
    <row r="2" spans="1:20" ht="15">
      <c r="A2" s="245" t="s">
        <v>100</v>
      </c>
      <c r="B2" s="414"/>
      <c r="C2" s="414"/>
      <c r="D2" s="414"/>
      <c r="E2" s="414"/>
      <c r="F2" s="414"/>
      <c r="K2" s="83" t="s">
        <v>290</v>
      </c>
      <c r="L2" s="411"/>
      <c r="M2" s="411"/>
      <c r="N2" s="357" t="str">
        <f>_xlfn.IFNA(INDEX(Crop_Yield,MATCH(L2,Crop_List_Full,0)),"N/A")</f>
        <v>N/A</v>
      </c>
      <c r="O2" s="356"/>
      <c r="P2" s="354"/>
      <c r="Q2" s="354"/>
      <c r="R2"/>
      <c r="S2"/>
    </row>
    <row r="3" spans="1:20" ht="15.75">
      <c r="A3" s="81"/>
      <c r="G3" s="192"/>
      <c r="K3" s="83" t="s">
        <v>291</v>
      </c>
      <c r="L3" s="411"/>
      <c r="M3" s="411"/>
      <c r="N3" s="357" t="str">
        <f>_xlfn.IFNA(INDEX(Crop_Yield,MATCH(L3,Crop_List_Full,0)),"N/A")</f>
        <v>N/A</v>
      </c>
      <c r="O3" s="356"/>
      <c r="P3" s="354"/>
      <c r="Q3" s="354"/>
      <c r="R3"/>
      <c r="S3"/>
    </row>
    <row r="4" spans="1:20" ht="15">
      <c r="A4" s="116" t="s">
        <v>299</v>
      </c>
      <c r="B4" s="205"/>
      <c r="C4" s="83" t="s">
        <v>293</v>
      </c>
      <c r="E4" s="412"/>
      <c r="F4" s="413"/>
      <c r="G4" s="193"/>
      <c r="K4" s="83" t="s">
        <v>292</v>
      </c>
      <c r="L4" s="411"/>
      <c r="M4" s="411"/>
      <c r="N4" s="357" t="str">
        <f>_xlfn.IFNA(INDEX(Crop_Yield,MATCH(L4,Crop_List_Full,0)),"N/A")</f>
        <v>N/A</v>
      </c>
      <c r="O4" s="356"/>
      <c r="P4" s="354"/>
      <c r="Q4" s="354"/>
      <c r="R4"/>
      <c r="S4"/>
    </row>
    <row r="5" spans="1:20" ht="13.5" thickBot="1"/>
    <row r="6" spans="1:20" ht="39" customHeight="1" thickBot="1">
      <c r="A6" s="84" t="s">
        <v>0</v>
      </c>
      <c r="B6" s="85" t="s">
        <v>1</v>
      </c>
      <c r="C6" s="230" t="s">
        <v>7</v>
      </c>
      <c r="D6" s="230" t="s">
        <v>8</v>
      </c>
      <c r="E6" s="230" t="s">
        <v>9</v>
      </c>
      <c r="F6" s="230" t="s">
        <v>10</v>
      </c>
      <c r="G6" s="230" t="s">
        <v>2</v>
      </c>
      <c r="H6" s="230" t="s">
        <v>11</v>
      </c>
      <c r="I6" s="230" t="s">
        <v>12</v>
      </c>
      <c r="J6" s="230" t="s">
        <v>13</v>
      </c>
      <c r="K6" s="230" t="s">
        <v>179</v>
      </c>
      <c r="L6" s="230" t="s">
        <v>15</v>
      </c>
      <c r="M6" s="230" t="s">
        <v>16</v>
      </c>
      <c r="N6" s="231" t="s">
        <v>17</v>
      </c>
      <c r="O6" s="86" t="s">
        <v>21</v>
      </c>
      <c r="P6" s="86" t="s">
        <v>295</v>
      </c>
      <c r="Q6" s="87" t="s">
        <v>298</v>
      </c>
    </row>
    <row r="7" spans="1:20" ht="48" customHeight="1">
      <c r="A7" s="88" t="s">
        <v>203</v>
      </c>
      <c r="B7" s="89"/>
      <c r="C7" s="355"/>
      <c r="D7" s="355"/>
      <c r="E7" s="355"/>
      <c r="F7" s="355"/>
      <c r="G7" s="355"/>
      <c r="H7" s="355"/>
      <c r="I7" s="355"/>
      <c r="J7" s="355"/>
      <c r="K7" s="355"/>
      <c r="L7" s="355"/>
      <c r="M7" s="355"/>
      <c r="N7" s="355"/>
      <c r="O7" s="312"/>
      <c r="P7" s="313"/>
      <c r="Q7" s="332"/>
    </row>
    <row r="8" spans="1:20" ht="26.25" customHeight="1">
      <c r="A8" s="194" t="s">
        <v>53</v>
      </c>
      <c r="B8" s="195" t="s">
        <v>110</v>
      </c>
      <c r="C8" s="212"/>
      <c r="D8" s="247"/>
      <c r="E8" s="247"/>
      <c r="F8" s="247"/>
      <c r="G8" s="247"/>
      <c r="H8" s="247"/>
      <c r="I8" s="247"/>
      <c r="J8" s="247"/>
      <c r="K8" s="247"/>
      <c r="L8" s="247"/>
      <c r="M8" s="247"/>
      <c r="N8" s="247"/>
      <c r="O8" s="314">
        <f t="shared" ref="O8:O16" si="0">SUM(C8:N8)</f>
        <v>0</v>
      </c>
      <c r="P8" s="315">
        <f>IF(COUNT(C8:N8)&gt;0,AVERAGE(C8:N8),0)</f>
        <v>0</v>
      </c>
      <c r="Q8" s="333"/>
      <c r="T8" s="112"/>
    </row>
    <row r="9" spans="1:20" ht="38.25" customHeight="1">
      <c r="A9" s="90" t="s">
        <v>53</v>
      </c>
      <c r="B9" s="91" t="s">
        <v>111</v>
      </c>
      <c r="C9" s="343" t="e">
        <f t="shared" ref="C9:N9" si="1">C8/wetted_acres</f>
        <v>#DIV/0!</v>
      </c>
      <c r="D9" s="344" t="e">
        <f t="shared" si="1"/>
        <v>#DIV/0!</v>
      </c>
      <c r="E9" s="344" t="e">
        <f t="shared" si="1"/>
        <v>#DIV/0!</v>
      </c>
      <c r="F9" s="344" t="e">
        <f t="shared" si="1"/>
        <v>#DIV/0!</v>
      </c>
      <c r="G9" s="344" t="e">
        <f t="shared" si="1"/>
        <v>#DIV/0!</v>
      </c>
      <c r="H9" s="344" t="e">
        <f t="shared" si="1"/>
        <v>#DIV/0!</v>
      </c>
      <c r="I9" s="344" t="e">
        <f t="shared" si="1"/>
        <v>#DIV/0!</v>
      </c>
      <c r="J9" s="344" t="e">
        <f t="shared" si="1"/>
        <v>#DIV/0!</v>
      </c>
      <c r="K9" s="344" t="e">
        <f t="shared" si="1"/>
        <v>#DIV/0!</v>
      </c>
      <c r="L9" s="344" t="e">
        <f t="shared" si="1"/>
        <v>#DIV/0!</v>
      </c>
      <c r="M9" s="344" t="e">
        <f t="shared" si="1"/>
        <v>#DIV/0!</v>
      </c>
      <c r="N9" s="344" t="e">
        <f t="shared" si="1"/>
        <v>#DIV/0!</v>
      </c>
      <c r="O9" s="316" t="e">
        <f t="shared" si="0"/>
        <v>#DIV/0!</v>
      </c>
      <c r="P9" s="315">
        <f t="shared" ref="P9:P10" si="2">IF(COUNT(C9:N9)&gt;0,AVERAGE(C9:N9),0)</f>
        <v>0</v>
      </c>
      <c r="Q9" s="334"/>
    </row>
    <row r="10" spans="1:20" ht="17.25" customHeight="1" thickBot="1">
      <c r="A10" s="92" t="s">
        <v>54</v>
      </c>
      <c r="B10" s="93" t="s">
        <v>3</v>
      </c>
      <c r="C10" s="211"/>
      <c r="D10" s="248"/>
      <c r="E10" s="248"/>
      <c r="F10" s="248"/>
      <c r="G10" s="248"/>
      <c r="H10" s="248"/>
      <c r="I10" s="248"/>
      <c r="J10" s="248"/>
      <c r="K10" s="248"/>
      <c r="L10" s="248"/>
      <c r="M10" s="248"/>
      <c r="N10" s="248"/>
      <c r="O10" s="317">
        <f t="shared" si="0"/>
        <v>0</v>
      </c>
      <c r="P10" s="318">
        <f t="shared" si="2"/>
        <v>0</v>
      </c>
      <c r="Q10" s="335"/>
    </row>
    <row r="11" spans="1:20" ht="25.5">
      <c r="A11" s="88" t="s">
        <v>4</v>
      </c>
      <c r="B11" s="89" t="s">
        <v>6</v>
      </c>
      <c r="C11" s="345" t="e">
        <f t="shared" ref="C11:N11" si="3">INDEX(Effluent_N_Conc,MATCH(C6,Month_List_Abbr,0))*C9/lbs_per_gal_to_mg_per_L</f>
        <v>#DIV/0!</v>
      </c>
      <c r="D11" s="345" t="e">
        <f t="shared" si="3"/>
        <v>#DIV/0!</v>
      </c>
      <c r="E11" s="345" t="e">
        <f t="shared" si="3"/>
        <v>#DIV/0!</v>
      </c>
      <c r="F11" s="345" t="e">
        <f t="shared" si="3"/>
        <v>#DIV/0!</v>
      </c>
      <c r="G11" s="345" t="e">
        <f t="shared" si="3"/>
        <v>#DIV/0!</v>
      </c>
      <c r="H11" s="345" t="e">
        <f t="shared" si="3"/>
        <v>#DIV/0!</v>
      </c>
      <c r="I11" s="345" t="e">
        <f t="shared" si="3"/>
        <v>#DIV/0!</v>
      </c>
      <c r="J11" s="345" t="e">
        <f t="shared" si="3"/>
        <v>#DIV/0!</v>
      </c>
      <c r="K11" s="345" t="e">
        <f t="shared" si="3"/>
        <v>#DIV/0!</v>
      </c>
      <c r="L11" s="345" t="e">
        <f t="shared" si="3"/>
        <v>#DIV/0!</v>
      </c>
      <c r="M11" s="345" t="e">
        <f t="shared" si="3"/>
        <v>#DIV/0!</v>
      </c>
      <c r="N11" s="345" t="e">
        <f t="shared" si="3"/>
        <v>#DIV/0!</v>
      </c>
      <c r="O11" s="319" t="e">
        <f t="shared" si="0"/>
        <v>#DIV/0!</v>
      </c>
      <c r="P11" s="320"/>
      <c r="Q11" s="336"/>
    </row>
    <row r="12" spans="1:20" ht="25.5">
      <c r="A12" s="90" t="s">
        <v>55</v>
      </c>
      <c r="B12" s="91" t="s">
        <v>6</v>
      </c>
      <c r="C12" s="214"/>
      <c r="D12" s="214"/>
      <c r="E12" s="214"/>
      <c r="F12" s="214"/>
      <c r="G12" s="214"/>
      <c r="H12" s="214"/>
      <c r="I12" s="214"/>
      <c r="J12" s="214"/>
      <c r="K12" s="214"/>
      <c r="L12" s="214"/>
      <c r="M12" s="214"/>
      <c r="N12" s="214"/>
      <c r="O12" s="321">
        <f t="shared" si="0"/>
        <v>0</v>
      </c>
      <c r="P12" s="322"/>
      <c r="Q12" s="337"/>
    </row>
    <row r="13" spans="1:20" ht="25.5">
      <c r="A13" s="90" t="s">
        <v>56</v>
      </c>
      <c r="B13" s="91" t="s">
        <v>6</v>
      </c>
      <c r="C13" s="214"/>
      <c r="D13" s="214"/>
      <c r="E13" s="214"/>
      <c r="F13" s="214"/>
      <c r="G13" s="214"/>
      <c r="H13" s="214"/>
      <c r="I13" s="214"/>
      <c r="J13" s="214"/>
      <c r="K13" s="214"/>
      <c r="L13" s="214"/>
      <c r="M13" s="214"/>
      <c r="N13" s="214"/>
      <c r="O13" s="323">
        <f t="shared" si="0"/>
        <v>0</v>
      </c>
      <c r="P13" s="322"/>
      <c r="Q13" s="338"/>
    </row>
    <row r="14" spans="1:20" ht="25.5">
      <c r="A14" s="94" t="s">
        <v>312</v>
      </c>
      <c r="B14" s="95" t="s">
        <v>6</v>
      </c>
      <c r="C14" s="346" t="e">
        <f>C11+(C12+C13)</f>
        <v>#DIV/0!</v>
      </c>
      <c r="D14" s="347" t="e">
        <f t="shared" ref="D14:N14" si="4">D11+(0.75*(D12+D13))+(0.25*(C12+C13))</f>
        <v>#DIV/0!</v>
      </c>
      <c r="E14" s="347" t="e">
        <f t="shared" si="4"/>
        <v>#DIV/0!</v>
      </c>
      <c r="F14" s="347" t="e">
        <f t="shared" si="4"/>
        <v>#DIV/0!</v>
      </c>
      <c r="G14" s="347" t="e">
        <f t="shared" si="4"/>
        <v>#DIV/0!</v>
      </c>
      <c r="H14" s="347" t="e">
        <f t="shared" si="4"/>
        <v>#DIV/0!</v>
      </c>
      <c r="I14" s="347" t="e">
        <f t="shared" si="4"/>
        <v>#DIV/0!</v>
      </c>
      <c r="J14" s="347" t="e">
        <f t="shared" si="4"/>
        <v>#DIV/0!</v>
      </c>
      <c r="K14" s="347" t="e">
        <f t="shared" si="4"/>
        <v>#DIV/0!</v>
      </c>
      <c r="L14" s="347" t="e">
        <f t="shared" si="4"/>
        <v>#DIV/0!</v>
      </c>
      <c r="M14" s="347" t="e">
        <f t="shared" si="4"/>
        <v>#DIV/0!</v>
      </c>
      <c r="N14" s="347" t="e">
        <f t="shared" si="4"/>
        <v>#DIV/0!</v>
      </c>
      <c r="O14" s="323" t="e">
        <f t="shared" si="0"/>
        <v>#DIV/0!</v>
      </c>
      <c r="P14" s="322"/>
      <c r="Q14" s="249"/>
    </row>
    <row r="15" spans="1:20" ht="25.5">
      <c r="A15" s="239" t="s">
        <v>280</v>
      </c>
      <c r="B15" s="202" t="s">
        <v>6</v>
      </c>
      <c r="C15" s="348" t="e">
        <f t="shared" ref="C15:N15" si="5">INDEX($A$114:$A$116,MATCH(C7,$L$2:$L$4,0))*INDEX(Crop_Monthly_Nitrogen_Uptake_Percent,MATCH(C7,Crop_List_Full,0),MATCH(C6,Month_List_Abbr,0))</f>
        <v>#N/A</v>
      </c>
      <c r="D15" s="348" t="e">
        <f t="shared" si="5"/>
        <v>#N/A</v>
      </c>
      <c r="E15" s="348" t="e">
        <f t="shared" si="5"/>
        <v>#N/A</v>
      </c>
      <c r="F15" s="348" t="e">
        <f t="shared" si="5"/>
        <v>#N/A</v>
      </c>
      <c r="G15" s="348" t="e">
        <f t="shared" si="5"/>
        <v>#N/A</v>
      </c>
      <c r="H15" s="348" t="e">
        <f t="shared" si="5"/>
        <v>#N/A</v>
      </c>
      <c r="I15" s="348" t="e">
        <f t="shared" si="5"/>
        <v>#N/A</v>
      </c>
      <c r="J15" s="348" t="e">
        <f t="shared" si="5"/>
        <v>#N/A</v>
      </c>
      <c r="K15" s="348" t="e">
        <f t="shared" si="5"/>
        <v>#N/A</v>
      </c>
      <c r="L15" s="348" t="e">
        <f t="shared" si="5"/>
        <v>#N/A</v>
      </c>
      <c r="M15" s="348" t="e">
        <f t="shared" si="5"/>
        <v>#N/A</v>
      </c>
      <c r="N15" s="348" t="e">
        <f t="shared" si="5"/>
        <v>#N/A</v>
      </c>
      <c r="O15" s="324" t="e">
        <f t="shared" si="0"/>
        <v>#N/A</v>
      </c>
      <c r="P15" s="322"/>
      <c r="Q15" s="339"/>
    </row>
    <row r="16" spans="1:20" ht="25.5">
      <c r="A16" s="239" t="s">
        <v>294</v>
      </c>
      <c r="B16" s="202" t="s">
        <v>6</v>
      </c>
      <c r="C16" s="348" t="e">
        <f t="shared" ref="C16:N16" si="6">C15+C44+C45</f>
        <v>#N/A</v>
      </c>
      <c r="D16" s="349" t="e">
        <f t="shared" si="6"/>
        <v>#N/A</v>
      </c>
      <c r="E16" s="349" t="e">
        <f t="shared" si="6"/>
        <v>#N/A</v>
      </c>
      <c r="F16" s="349" t="e">
        <f t="shared" si="6"/>
        <v>#N/A</v>
      </c>
      <c r="G16" s="349" t="e">
        <f t="shared" si="6"/>
        <v>#N/A</v>
      </c>
      <c r="H16" s="349" t="e">
        <f t="shared" si="6"/>
        <v>#N/A</v>
      </c>
      <c r="I16" s="349" t="e">
        <f t="shared" si="6"/>
        <v>#N/A</v>
      </c>
      <c r="J16" s="349" t="e">
        <f t="shared" si="6"/>
        <v>#N/A</v>
      </c>
      <c r="K16" s="349" t="e">
        <f t="shared" si="6"/>
        <v>#N/A</v>
      </c>
      <c r="L16" s="349" t="e">
        <f t="shared" si="6"/>
        <v>#N/A</v>
      </c>
      <c r="M16" s="349" t="e">
        <f t="shared" si="6"/>
        <v>#N/A</v>
      </c>
      <c r="N16" s="349" t="e">
        <f t="shared" si="6"/>
        <v>#N/A</v>
      </c>
      <c r="O16" s="325" t="e">
        <f t="shared" si="0"/>
        <v>#N/A</v>
      </c>
      <c r="P16" s="322"/>
      <c r="Q16" s="340"/>
    </row>
    <row r="17" spans="1:17" s="102" customFormat="1" ht="26.25" thickBot="1">
      <c r="A17" s="250" t="s">
        <v>117</v>
      </c>
      <c r="B17" s="210" t="s">
        <v>5</v>
      </c>
      <c r="C17" s="350" t="e">
        <f>(C48/(C50/gal_to_acre_in))*lbs_per_gal_to_mg_per_L</f>
        <v>#DIV/0!</v>
      </c>
      <c r="D17" s="351" t="e">
        <f t="shared" ref="D17:N17" si="7">(D48/(D50/gal_to_acre_in))*lbs_per_gal_to_mg_per_L</f>
        <v>#DIV/0!</v>
      </c>
      <c r="E17" s="351" t="e">
        <f t="shared" si="7"/>
        <v>#DIV/0!</v>
      </c>
      <c r="F17" s="351" t="e">
        <f t="shared" si="7"/>
        <v>#DIV/0!</v>
      </c>
      <c r="G17" s="351" t="e">
        <f t="shared" si="7"/>
        <v>#DIV/0!</v>
      </c>
      <c r="H17" s="351" t="e">
        <f t="shared" si="7"/>
        <v>#DIV/0!</v>
      </c>
      <c r="I17" s="351" t="e">
        <f t="shared" si="7"/>
        <v>#DIV/0!</v>
      </c>
      <c r="J17" s="351" t="e">
        <f t="shared" si="7"/>
        <v>#DIV/0!</v>
      </c>
      <c r="K17" s="351" t="e">
        <f t="shared" si="7"/>
        <v>#DIV/0!</v>
      </c>
      <c r="L17" s="351" t="e">
        <f t="shared" si="7"/>
        <v>#DIV/0!</v>
      </c>
      <c r="M17" s="351" t="e">
        <f t="shared" si="7"/>
        <v>#DIV/0!</v>
      </c>
      <c r="N17" s="351" t="e">
        <f t="shared" si="7"/>
        <v>#DIV/0!</v>
      </c>
      <c r="O17" s="326" t="e">
        <f>(O48/(O50/gal_to_acre_in))*lbs_per_gal_to_mg_per_L</f>
        <v>#DIV/0!</v>
      </c>
      <c r="P17" s="327" t="e">
        <f>AVERAGE(C17:N17)</f>
        <v>#DIV/0!</v>
      </c>
      <c r="Q17" s="341">
        <v>10</v>
      </c>
    </row>
    <row r="18" spans="1:17" ht="25.5">
      <c r="A18" s="88" t="s">
        <v>19</v>
      </c>
      <c r="B18" s="89" t="s">
        <v>6</v>
      </c>
      <c r="C18" s="352" t="e">
        <f>INDEX(Effluent_P_Conc,MATCH(C6,Month_List_Abbr,0))*C9/lbs_per_gal_to_mg_per_L</f>
        <v>#DIV/0!</v>
      </c>
      <c r="D18" s="352" t="e">
        <f t="shared" ref="D18:N18" si="8">INDEX(Effluent_P_Conc,MATCH(D6,Month_List_Abbr,0))*D9/lbs_per_gal_to_mg_per_L</f>
        <v>#DIV/0!</v>
      </c>
      <c r="E18" s="352" t="e">
        <f t="shared" si="8"/>
        <v>#DIV/0!</v>
      </c>
      <c r="F18" s="352" t="e">
        <f t="shared" si="8"/>
        <v>#DIV/0!</v>
      </c>
      <c r="G18" s="352" t="e">
        <f t="shared" si="8"/>
        <v>#DIV/0!</v>
      </c>
      <c r="H18" s="352" t="e">
        <f t="shared" si="8"/>
        <v>#DIV/0!</v>
      </c>
      <c r="I18" s="352" t="e">
        <f t="shared" si="8"/>
        <v>#DIV/0!</v>
      </c>
      <c r="J18" s="352" t="e">
        <f t="shared" si="8"/>
        <v>#DIV/0!</v>
      </c>
      <c r="K18" s="352" t="e">
        <f t="shared" si="8"/>
        <v>#DIV/0!</v>
      </c>
      <c r="L18" s="352" t="e">
        <f t="shared" si="8"/>
        <v>#DIV/0!</v>
      </c>
      <c r="M18" s="352" t="e">
        <f t="shared" si="8"/>
        <v>#DIV/0!</v>
      </c>
      <c r="N18" s="352" t="e">
        <f t="shared" si="8"/>
        <v>#DIV/0!</v>
      </c>
      <c r="O18" s="328" t="e">
        <f>SUM(C18:N18)</f>
        <v>#DIV/0!</v>
      </c>
      <c r="P18" s="329"/>
      <c r="Q18" s="336"/>
    </row>
    <row r="19" spans="1:17" ht="38.25">
      <c r="A19" s="90" t="s">
        <v>57</v>
      </c>
      <c r="B19" s="91" t="s">
        <v>6</v>
      </c>
      <c r="C19" s="213"/>
      <c r="D19" s="251"/>
      <c r="E19" s="251"/>
      <c r="F19" s="251"/>
      <c r="G19" s="251"/>
      <c r="H19" s="251"/>
      <c r="I19" s="251"/>
      <c r="J19" s="251"/>
      <c r="K19" s="251"/>
      <c r="L19" s="251"/>
      <c r="M19" s="251"/>
      <c r="N19" s="251"/>
      <c r="O19" s="325">
        <f>SUM(C19:N19)</f>
        <v>0</v>
      </c>
      <c r="P19" s="322"/>
      <c r="Q19" s="337"/>
    </row>
    <row r="20" spans="1:17" ht="25.5">
      <c r="A20" s="90" t="s">
        <v>58</v>
      </c>
      <c r="B20" s="91" t="s">
        <v>6</v>
      </c>
      <c r="C20" s="213"/>
      <c r="D20" s="251"/>
      <c r="E20" s="251"/>
      <c r="F20" s="251"/>
      <c r="G20" s="251"/>
      <c r="H20" s="251"/>
      <c r="I20" s="251"/>
      <c r="J20" s="251"/>
      <c r="K20" s="251"/>
      <c r="L20" s="251"/>
      <c r="M20" s="251"/>
      <c r="N20" s="251"/>
      <c r="O20" s="324">
        <f>SUM(C20:N20)</f>
        <v>0</v>
      </c>
      <c r="P20" s="322"/>
      <c r="Q20" s="338"/>
    </row>
    <row r="21" spans="1:17" ht="26.25" thickBot="1">
      <c r="A21" s="92" t="s">
        <v>20</v>
      </c>
      <c r="B21" s="93" t="s">
        <v>6</v>
      </c>
      <c r="C21" s="353" t="e">
        <f>C18+C19+C20</f>
        <v>#DIV/0!</v>
      </c>
      <c r="D21" s="353" t="e">
        <f t="shared" ref="D21:N21" si="9">D18+D19+D20</f>
        <v>#DIV/0!</v>
      </c>
      <c r="E21" s="353" t="e">
        <f t="shared" si="9"/>
        <v>#DIV/0!</v>
      </c>
      <c r="F21" s="353" t="e">
        <f t="shared" si="9"/>
        <v>#DIV/0!</v>
      </c>
      <c r="G21" s="353" t="e">
        <f t="shared" si="9"/>
        <v>#DIV/0!</v>
      </c>
      <c r="H21" s="353" t="e">
        <f t="shared" si="9"/>
        <v>#DIV/0!</v>
      </c>
      <c r="I21" s="353" t="e">
        <f t="shared" si="9"/>
        <v>#DIV/0!</v>
      </c>
      <c r="J21" s="353" t="e">
        <f t="shared" si="9"/>
        <v>#DIV/0!</v>
      </c>
      <c r="K21" s="353" t="e">
        <f t="shared" si="9"/>
        <v>#DIV/0!</v>
      </c>
      <c r="L21" s="353" t="e">
        <f t="shared" si="9"/>
        <v>#DIV/0!</v>
      </c>
      <c r="M21" s="353" t="e">
        <f t="shared" si="9"/>
        <v>#DIV/0!</v>
      </c>
      <c r="N21" s="353" t="e">
        <f t="shared" si="9"/>
        <v>#DIV/0!</v>
      </c>
      <c r="O21" s="330" t="e">
        <f>SUM(C21:N21)</f>
        <v>#DIV/0!</v>
      </c>
      <c r="P21" s="331"/>
      <c r="Q21" s="342"/>
    </row>
    <row r="23" spans="1:17">
      <c r="A23" s="102" t="s">
        <v>302</v>
      </c>
    </row>
    <row r="24" spans="1:17">
      <c r="A24" s="83" t="s">
        <v>303</v>
      </c>
    </row>
    <row r="25" spans="1:17">
      <c r="A25" s="83" t="s">
        <v>305</v>
      </c>
      <c r="K25" s="116"/>
    </row>
    <row r="26" spans="1:17">
      <c r="A26" s="83" t="s">
        <v>306</v>
      </c>
    </row>
    <row r="27" spans="1:17">
      <c r="A27" s="83" t="s">
        <v>315</v>
      </c>
    </row>
    <row r="28" spans="1:17">
      <c r="A28" s="246" t="s">
        <v>313</v>
      </c>
    </row>
    <row r="30" spans="1:17">
      <c r="A30" s="102" t="s">
        <v>307</v>
      </c>
    </row>
    <row r="31" spans="1:17">
      <c r="A31" s="83" t="s">
        <v>308</v>
      </c>
    </row>
    <row r="32" spans="1:17">
      <c r="A32" s="83" t="s">
        <v>309</v>
      </c>
      <c r="O32" s="82"/>
    </row>
    <row r="33" spans="1:18">
      <c r="A33" s="83" t="s">
        <v>310</v>
      </c>
    </row>
    <row r="34" spans="1:18">
      <c r="A34" s="116" t="s">
        <v>314</v>
      </c>
    </row>
    <row r="35" spans="1:18" ht="13.5" customHeight="1"/>
    <row r="36" spans="1:18" hidden="1"/>
    <row r="37" spans="1:18" ht="13.5" hidden="1" customHeight="1"/>
    <row r="38" spans="1:18" ht="13.5" hidden="1" customHeight="1"/>
    <row r="39" spans="1:18" ht="13.5" hidden="1" thickBot="1">
      <c r="A39" s="96"/>
      <c r="B39" s="97"/>
      <c r="C39" s="98"/>
      <c r="D39" s="99"/>
      <c r="E39" s="99"/>
      <c r="F39" s="99"/>
      <c r="G39" s="99"/>
      <c r="H39" s="99"/>
      <c r="I39" s="99"/>
      <c r="J39" s="99"/>
      <c r="K39" s="99"/>
      <c r="L39" s="99"/>
      <c r="M39" s="99"/>
      <c r="N39" s="99"/>
      <c r="O39" s="100"/>
    </row>
    <row r="40" spans="1:18" ht="16.5" hidden="1" thickBot="1">
      <c r="A40" s="83" t="s">
        <v>311</v>
      </c>
      <c r="C40" s="255" t="s">
        <v>7</v>
      </c>
      <c r="D40" s="230" t="s">
        <v>8</v>
      </c>
      <c r="E40" s="230" t="s">
        <v>9</v>
      </c>
      <c r="F40" s="230" t="s">
        <v>10</v>
      </c>
      <c r="G40" s="230" t="s">
        <v>2</v>
      </c>
      <c r="H40" s="230" t="s">
        <v>11</v>
      </c>
      <c r="I40" s="230" t="s">
        <v>12</v>
      </c>
      <c r="J40" s="230" t="s">
        <v>13</v>
      </c>
      <c r="K40" s="230" t="s">
        <v>179</v>
      </c>
      <c r="L40" s="230" t="s">
        <v>15</v>
      </c>
      <c r="M40" s="230" t="s">
        <v>16</v>
      </c>
      <c r="N40" s="231" t="s">
        <v>17</v>
      </c>
      <c r="O40" s="86" t="s">
        <v>21</v>
      </c>
      <c r="P40" s="86" t="s">
        <v>295</v>
      </c>
      <c r="Q40" s="101"/>
    </row>
    <row r="41" spans="1:18" ht="25.5" hidden="1">
      <c r="A41" s="234" t="s">
        <v>277</v>
      </c>
      <c r="B41" s="235" t="s">
        <v>278</v>
      </c>
      <c r="C41" s="236" t="e">
        <f>INDEX(Crop_Fixation_Percent,MATCH(C7,Crop_List_Full,0))*C15</f>
        <v>#N/A</v>
      </c>
      <c r="D41" s="236" t="e">
        <f t="shared" ref="D41:N41" si="10">INDEX(Crop_Fixation_Percent,MATCH(D7,Crop_List_Full,0))*D15</f>
        <v>#N/A</v>
      </c>
      <c r="E41" s="236" t="e">
        <f t="shared" si="10"/>
        <v>#N/A</v>
      </c>
      <c r="F41" s="236" t="e">
        <f t="shared" si="10"/>
        <v>#N/A</v>
      </c>
      <c r="G41" s="236" t="e">
        <f t="shared" si="10"/>
        <v>#N/A</v>
      </c>
      <c r="H41" s="236" t="e">
        <f t="shared" si="10"/>
        <v>#N/A</v>
      </c>
      <c r="I41" s="236" t="e">
        <f t="shared" si="10"/>
        <v>#N/A</v>
      </c>
      <c r="J41" s="236" t="e">
        <f t="shared" si="10"/>
        <v>#N/A</v>
      </c>
      <c r="K41" s="236" t="e">
        <f t="shared" si="10"/>
        <v>#N/A</v>
      </c>
      <c r="L41" s="236" t="e">
        <f t="shared" si="10"/>
        <v>#N/A</v>
      </c>
      <c r="M41" s="236" t="e">
        <f t="shared" si="10"/>
        <v>#N/A</v>
      </c>
      <c r="N41" s="236" t="e">
        <f t="shared" si="10"/>
        <v>#N/A</v>
      </c>
      <c r="O41" s="237" t="e">
        <f t="shared" ref="O41:O42" si="11">SUM(C41:N41)</f>
        <v>#N/A</v>
      </c>
      <c r="P41" s="238" t="e">
        <f>AVERAGE(C41:N41)</f>
        <v>#N/A</v>
      </c>
      <c r="Q41" s="252"/>
      <c r="R41" s="112"/>
    </row>
    <row r="42" spans="1:18" ht="25.5" hidden="1">
      <c r="A42" s="94" t="s">
        <v>279</v>
      </c>
      <c r="B42" s="95" t="s">
        <v>6</v>
      </c>
      <c r="C42" s="217">
        <f t="shared" ref="C42:N42" si="12">INDEX(Monthly_N_Precip,MATCH(C6,Month_List_Abbr,0))</f>
        <v>0.42465753424657532</v>
      </c>
      <c r="D42" s="218">
        <f t="shared" si="12"/>
        <v>0.38356164383561647</v>
      </c>
      <c r="E42" s="218">
        <f t="shared" si="12"/>
        <v>0.42465753424657532</v>
      </c>
      <c r="F42" s="218">
        <f t="shared" si="12"/>
        <v>0.41095890410958902</v>
      </c>
      <c r="G42" s="218">
        <f t="shared" si="12"/>
        <v>0.42465753424657532</v>
      </c>
      <c r="H42" s="218">
        <f t="shared" si="12"/>
        <v>0.41095890410958902</v>
      </c>
      <c r="I42" s="218">
        <f t="shared" si="12"/>
        <v>0.42465753424657532</v>
      </c>
      <c r="J42" s="218">
        <f t="shared" si="12"/>
        <v>0.42465753424657532</v>
      </c>
      <c r="K42" s="218">
        <f t="shared" si="12"/>
        <v>0.41095890410958902</v>
      </c>
      <c r="L42" s="218">
        <f t="shared" si="12"/>
        <v>0.42465753424657532</v>
      </c>
      <c r="M42" s="218">
        <f t="shared" si="12"/>
        <v>0.41095890410958902</v>
      </c>
      <c r="N42" s="219">
        <f t="shared" si="12"/>
        <v>0.42465753424657532</v>
      </c>
      <c r="O42" s="232">
        <f t="shared" si="11"/>
        <v>5</v>
      </c>
      <c r="P42" s="233">
        <f t="shared" ref="P42:P50" si="13">AVERAGE(C42:N42)</f>
        <v>0.41666666666666669</v>
      </c>
      <c r="Q42" s="252"/>
      <c r="R42" s="112"/>
    </row>
    <row r="43" spans="1:18" ht="25.5" hidden="1">
      <c r="A43" s="239" t="s">
        <v>18</v>
      </c>
      <c r="B43" s="202" t="s">
        <v>6</v>
      </c>
      <c r="C43" s="220" t="e">
        <f t="shared" ref="C43:N43" si="14">INDEX(Effluent_Ammonia_Conc,MATCH(C6,$C$6:$N$6,0))*C9/lbs_per_gal_to_mg_per_L</f>
        <v>#DIV/0!</v>
      </c>
      <c r="D43" s="216" t="e">
        <f t="shared" si="14"/>
        <v>#DIV/0!</v>
      </c>
      <c r="E43" s="216" t="e">
        <f t="shared" si="14"/>
        <v>#DIV/0!</v>
      </c>
      <c r="F43" s="216" t="e">
        <f t="shared" si="14"/>
        <v>#DIV/0!</v>
      </c>
      <c r="G43" s="216" t="e">
        <f t="shared" si="14"/>
        <v>#DIV/0!</v>
      </c>
      <c r="H43" s="216" t="e">
        <f t="shared" si="14"/>
        <v>#DIV/0!</v>
      </c>
      <c r="I43" s="216" t="e">
        <f t="shared" si="14"/>
        <v>#DIV/0!</v>
      </c>
      <c r="J43" s="216" t="e">
        <f t="shared" si="14"/>
        <v>#DIV/0!</v>
      </c>
      <c r="K43" s="216" t="e">
        <f t="shared" si="14"/>
        <v>#DIV/0!</v>
      </c>
      <c r="L43" s="216" t="e">
        <f t="shared" si="14"/>
        <v>#DIV/0!</v>
      </c>
      <c r="M43" s="216" t="e">
        <f t="shared" si="14"/>
        <v>#DIV/0!</v>
      </c>
      <c r="N43" s="221" t="e">
        <f t="shared" si="14"/>
        <v>#DIV/0!</v>
      </c>
      <c r="O43" s="232" t="e">
        <f t="shared" ref="O43:O47" si="15">SUM(C43:N43)</f>
        <v>#DIV/0!</v>
      </c>
      <c r="P43" s="233" t="e">
        <f t="shared" si="13"/>
        <v>#DIV/0!</v>
      </c>
      <c r="Q43" s="252"/>
    </row>
    <row r="44" spans="1:18" hidden="1">
      <c r="A44" s="239" t="s">
        <v>281</v>
      </c>
      <c r="B44" s="202" t="s">
        <v>6</v>
      </c>
      <c r="C44" s="220" t="e">
        <f t="shared" ref="C44:N44" si="16">INDEX(Crop_Denitrification_Percent,MATCH(C7,Crop_List_Full,0))*C14</f>
        <v>#N/A</v>
      </c>
      <c r="D44" s="216" t="e">
        <f t="shared" si="16"/>
        <v>#N/A</v>
      </c>
      <c r="E44" s="216" t="e">
        <f t="shared" si="16"/>
        <v>#N/A</v>
      </c>
      <c r="F44" s="216" t="e">
        <f t="shared" si="16"/>
        <v>#N/A</v>
      </c>
      <c r="G44" s="216" t="e">
        <f t="shared" si="16"/>
        <v>#N/A</v>
      </c>
      <c r="H44" s="216" t="e">
        <f t="shared" si="16"/>
        <v>#N/A</v>
      </c>
      <c r="I44" s="216" t="e">
        <f t="shared" si="16"/>
        <v>#N/A</v>
      </c>
      <c r="J44" s="216" t="e">
        <f t="shared" si="16"/>
        <v>#N/A</v>
      </c>
      <c r="K44" s="216" t="e">
        <f t="shared" si="16"/>
        <v>#N/A</v>
      </c>
      <c r="L44" s="216" t="e">
        <f t="shared" si="16"/>
        <v>#N/A</v>
      </c>
      <c r="M44" s="216" t="e">
        <f t="shared" si="16"/>
        <v>#N/A</v>
      </c>
      <c r="N44" s="221" t="e">
        <f t="shared" si="16"/>
        <v>#N/A</v>
      </c>
      <c r="O44" s="232" t="e">
        <f t="shared" si="15"/>
        <v>#N/A</v>
      </c>
      <c r="P44" s="233" t="e">
        <f t="shared" si="13"/>
        <v>#N/A</v>
      </c>
      <c r="Q44" s="252"/>
    </row>
    <row r="45" spans="1:18" ht="25.5" hidden="1">
      <c r="A45" s="239" t="s">
        <v>282</v>
      </c>
      <c r="B45" s="202" t="s">
        <v>6</v>
      </c>
      <c r="C45" s="220" t="e">
        <f t="shared" ref="C45:N45" si="17">assumed_ammonia_volatilization_percent*C43</f>
        <v>#DIV/0!</v>
      </c>
      <c r="D45" s="216" t="e">
        <f t="shared" si="17"/>
        <v>#DIV/0!</v>
      </c>
      <c r="E45" s="216" t="e">
        <f t="shared" si="17"/>
        <v>#DIV/0!</v>
      </c>
      <c r="F45" s="216" t="e">
        <f t="shared" si="17"/>
        <v>#DIV/0!</v>
      </c>
      <c r="G45" s="216" t="e">
        <f t="shared" si="17"/>
        <v>#DIV/0!</v>
      </c>
      <c r="H45" s="216" t="e">
        <f t="shared" si="17"/>
        <v>#DIV/0!</v>
      </c>
      <c r="I45" s="216" t="e">
        <f t="shared" si="17"/>
        <v>#DIV/0!</v>
      </c>
      <c r="J45" s="216" t="e">
        <f t="shared" si="17"/>
        <v>#DIV/0!</v>
      </c>
      <c r="K45" s="216" t="e">
        <f t="shared" si="17"/>
        <v>#DIV/0!</v>
      </c>
      <c r="L45" s="216" t="e">
        <f t="shared" si="17"/>
        <v>#DIV/0!</v>
      </c>
      <c r="M45" s="216" t="e">
        <f t="shared" si="17"/>
        <v>#DIV/0!</v>
      </c>
      <c r="N45" s="221" t="e">
        <f t="shared" si="17"/>
        <v>#DIV/0!</v>
      </c>
      <c r="O45" s="232" t="e">
        <f t="shared" si="15"/>
        <v>#DIV/0!</v>
      </c>
      <c r="P45" s="233" t="e">
        <f t="shared" si="13"/>
        <v>#DIV/0!</v>
      </c>
      <c r="Q45" s="252"/>
    </row>
    <row r="46" spans="1:18" ht="25.5" hidden="1">
      <c r="A46" s="239" t="s">
        <v>319</v>
      </c>
      <c r="B46" s="202" t="s">
        <v>289</v>
      </c>
      <c r="C46" s="220">
        <f t="shared" ref="C46:N46" si="18">INDEX(Monthly_Total_Precipitation_in,MATCH(C$6,Month_List_Abbr,0))</f>
        <v>0</v>
      </c>
      <c r="D46" s="216">
        <f t="shared" si="18"/>
        <v>0</v>
      </c>
      <c r="E46" s="216">
        <f t="shared" si="18"/>
        <v>0</v>
      </c>
      <c r="F46" s="216">
        <f t="shared" si="18"/>
        <v>0</v>
      </c>
      <c r="G46" s="216">
        <f t="shared" si="18"/>
        <v>0</v>
      </c>
      <c r="H46" s="216">
        <f t="shared" si="18"/>
        <v>0</v>
      </c>
      <c r="I46" s="216">
        <f t="shared" si="18"/>
        <v>0</v>
      </c>
      <c r="J46" s="216">
        <f t="shared" si="18"/>
        <v>0</v>
      </c>
      <c r="K46" s="216">
        <f t="shared" si="18"/>
        <v>0</v>
      </c>
      <c r="L46" s="216">
        <f t="shared" si="18"/>
        <v>0</v>
      </c>
      <c r="M46" s="216">
        <f t="shared" si="18"/>
        <v>0</v>
      </c>
      <c r="N46" s="221">
        <f t="shared" si="18"/>
        <v>0</v>
      </c>
      <c r="O46" s="232">
        <f t="shared" si="15"/>
        <v>0</v>
      </c>
      <c r="P46" s="233">
        <f t="shared" si="13"/>
        <v>0</v>
      </c>
      <c r="Q46" s="252"/>
    </row>
    <row r="47" spans="1:18" ht="25.5" hidden="1">
      <c r="A47" s="239" t="s">
        <v>286</v>
      </c>
      <c r="B47" s="202" t="s">
        <v>289</v>
      </c>
      <c r="C47" s="220" t="e">
        <f t="shared" ref="C47:N47" si="19">INDEX(Pot_Evapotrans_in,MATCH(nearest_weather_station,Weather_Stations_List,0),MATCH(C$6,Month_List_Abbr,0))</f>
        <v>#N/A</v>
      </c>
      <c r="D47" s="216" t="e">
        <f t="shared" si="19"/>
        <v>#N/A</v>
      </c>
      <c r="E47" s="216" t="e">
        <f t="shared" si="19"/>
        <v>#N/A</v>
      </c>
      <c r="F47" s="216" t="e">
        <f t="shared" si="19"/>
        <v>#N/A</v>
      </c>
      <c r="G47" s="216" t="e">
        <f t="shared" si="19"/>
        <v>#N/A</v>
      </c>
      <c r="H47" s="216" t="e">
        <f t="shared" si="19"/>
        <v>#N/A</v>
      </c>
      <c r="I47" s="216" t="e">
        <f t="shared" si="19"/>
        <v>#N/A</v>
      </c>
      <c r="J47" s="216" t="e">
        <f t="shared" si="19"/>
        <v>#N/A</v>
      </c>
      <c r="K47" s="216" t="e">
        <f t="shared" si="19"/>
        <v>#N/A</v>
      </c>
      <c r="L47" s="216" t="e">
        <f t="shared" si="19"/>
        <v>#N/A</v>
      </c>
      <c r="M47" s="216" t="e">
        <f t="shared" si="19"/>
        <v>#N/A</v>
      </c>
      <c r="N47" s="221" t="e">
        <f t="shared" si="19"/>
        <v>#N/A</v>
      </c>
      <c r="O47" s="232" t="e">
        <f t="shared" si="15"/>
        <v>#N/A</v>
      </c>
      <c r="P47" s="233" t="e">
        <f t="shared" si="13"/>
        <v>#N/A</v>
      </c>
      <c r="Q47" s="252"/>
    </row>
    <row r="48" spans="1:18" ht="25.5" hidden="1">
      <c r="A48" s="239" t="s">
        <v>284</v>
      </c>
      <c r="B48" s="202" t="s">
        <v>6</v>
      </c>
      <c r="C48" s="215" t="e">
        <f>MAX(C14+C41+C42-C16,0)</f>
        <v>#DIV/0!</v>
      </c>
      <c r="D48" s="215" t="e">
        <f t="shared" ref="D48:N48" si="20">MAX(D14+D41+D42-D16,0)</f>
        <v>#DIV/0!</v>
      </c>
      <c r="E48" s="215" t="e">
        <f t="shared" si="20"/>
        <v>#DIV/0!</v>
      </c>
      <c r="F48" s="215" t="e">
        <f t="shared" si="20"/>
        <v>#DIV/0!</v>
      </c>
      <c r="G48" s="215" t="e">
        <f t="shared" si="20"/>
        <v>#DIV/0!</v>
      </c>
      <c r="H48" s="215" t="e">
        <f t="shared" si="20"/>
        <v>#DIV/0!</v>
      </c>
      <c r="I48" s="215" t="e">
        <f t="shared" si="20"/>
        <v>#DIV/0!</v>
      </c>
      <c r="J48" s="215" t="e">
        <f t="shared" si="20"/>
        <v>#DIV/0!</v>
      </c>
      <c r="K48" s="215" t="e">
        <f t="shared" si="20"/>
        <v>#DIV/0!</v>
      </c>
      <c r="L48" s="215" t="e">
        <f t="shared" si="20"/>
        <v>#DIV/0!</v>
      </c>
      <c r="M48" s="215" t="e">
        <f t="shared" si="20"/>
        <v>#DIV/0!</v>
      </c>
      <c r="N48" s="215" t="e">
        <f t="shared" si="20"/>
        <v>#DIV/0!</v>
      </c>
      <c r="O48" s="232" t="e">
        <f>SUM(C48:N48)</f>
        <v>#DIV/0!</v>
      </c>
      <c r="P48" s="233" t="e">
        <f t="shared" si="13"/>
        <v>#DIV/0!</v>
      </c>
      <c r="Q48" s="253"/>
    </row>
    <row r="49" spans="1:54" ht="25.5" hidden="1">
      <c r="A49" s="239" t="s">
        <v>285</v>
      </c>
      <c r="B49" s="202" t="s">
        <v>289</v>
      </c>
      <c r="C49" s="203" t="e">
        <f t="shared" ref="C49:N49" si="21">C9*gal_to_acre_in</f>
        <v>#DIV/0!</v>
      </c>
      <c r="D49" s="203" t="e">
        <f t="shared" si="21"/>
        <v>#DIV/0!</v>
      </c>
      <c r="E49" s="203" t="e">
        <f t="shared" si="21"/>
        <v>#DIV/0!</v>
      </c>
      <c r="F49" s="203" t="e">
        <f t="shared" si="21"/>
        <v>#DIV/0!</v>
      </c>
      <c r="G49" s="203" t="e">
        <f t="shared" si="21"/>
        <v>#DIV/0!</v>
      </c>
      <c r="H49" s="203" t="e">
        <f t="shared" si="21"/>
        <v>#DIV/0!</v>
      </c>
      <c r="I49" s="203" t="e">
        <f t="shared" si="21"/>
        <v>#DIV/0!</v>
      </c>
      <c r="J49" s="203" t="e">
        <f t="shared" si="21"/>
        <v>#DIV/0!</v>
      </c>
      <c r="K49" s="203" t="e">
        <f t="shared" si="21"/>
        <v>#DIV/0!</v>
      </c>
      <c r="L49" s="203" t="e">
        <f t="shared" si="21"/>
        <v>#DIV/0!</v>
      </c>
      <c r="M49" s="203" t="e">
        <f t="shared" si="21"/>
        <v>#DIV/0!</v>
      </c>
      <c r="N49" s="203" t="e">
        <f t="shared" si="21"/>
        <v>#DIV/0!</v>
      </c>
      <c r="O49" s="232" t="e">
        <f t="shared" ref="O49" si="22">SUM(C49:N49)</f>
        <v>#DIV/0!</v>
      </c>
      <c r="P49" s="233" t="e">
        <f t="shared" si="13"/>
        <v>#DIV/0!</v>
      </c>
      <c r="Q49" s="252"/>
    </row>
    <row r="50" spans="1:54" ht="13.5" hidden="1" thickBot="1">
      <c r="A50" s="240" t="s">
        <v>287</v>
      </c>
      <c r="B50" s="241" t="s">
        <v>289</v>
      </c>
      <c r="C50" s="242" t="e">
        <f t="shared" ref="C50:N50" si="23">MAX(C49+C46-C47,0)</f>
        <v>#DIV/0!</v>
      </c>
      <c r="D50" s="243" t="e">
        <f t="shared" si="23"/>
        <v>#DIV/0!</v>
      </c>
      <c r="E50" s="243" t="e">
        <f t="shared" si="23"/>
        <v>#DIV/0!</v>
      </c>
      <c r="F50" s="243" t="e">
        <f t="shared" si="23"/>
        <v>#DIV/0!</v>
      </c>
      <c r="G50" s="243" t="e">
        <f t="shared" si="23"/>
        <v>#DIV/0!</v>
      </c>
      <c r="H50" s="243" t="e">
        <f t="shared" si="23"/>
        <v>#DIV/0!</v>
      </c>
      <c r="I50" s="243" t="e">
        <f t="shared" si="23"/>
        <v>#DIV/0!</v>
      </c>
      <c r="J50" s="243" t="e">
        <f t="shared" si="23"/>
        <v>#DIV/0!</v>
      </c>
      <c r="K50" s="243" t="e">
        <f t="shared" si="23"/>
        <v>#DIV/0!</v>
      </c>
      <c r="L50" s="243" t="e">
        <f t="shared" si="23"/>
        <v>#DIV/0!</v>
      </c>
      <c r="M50" s="243" t="e">
        <f t="shared" si="23"/>
        <v>#DIV/0!</v>
      </c>
      <c r="N50" s="243" t="e">
        <f t="shared" si="23"/>
        <v>#DIV/0!</v>
      </c>
      <c r="O50" s="244" t="e">
        <f>SUM(C50:N50)</f>
        <v>#DIV/0!</v>
      </c>
      <c r="P50" s="254" t="e">
        <f t="shared" si="13"/>
        <v>#DIV/0!</v>
      </c>
      <c r="Q50" s="253"/>
    </row>
    <row r="51" spans="1:54" hidden="1"/>
    <row r="52" spans="1:54" hidden="1"/>
    <row r="53" spans="1:54" hidden="1"/>
    <row r="54" spans="1:54" hidden="1">
      <c r="A54" s="83" t="s">
        <v>316</v>
      </c>
    </row>
    <row r="55" spans="1:54" hidden="1"/>
    <row r="56" spans="1:54" hidden="1"/>
    <row r="57" spans="1:54" ht="15" hidden="1">
      <c r="A57" s="404" t="s">
        <v>159</v>
      </c>
      <c r="B57" s="389"/>
      <c r="C57"/>
      <c r="D57"/>
      <c r="E57" s="405" t="s">
        <v>183</v>
      </c>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t="s">
        <v>184</v>
      </c>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row>
    <row r="58" spans="1:54" ht="13.5" hidden="1" thickBot="1">
      <c r="A58" s="148">
        <v>448.83100000000002</v>
      </c>
      <c r="B58" s="223" t="s">
        <v>160</v>
      </c>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row>
    <row r="59" spans="1:54" ht="15.75" hidden="1" thickBot="1">
      <c r="A59" s="149">
        <f>(24*60)</f>
        <v>1440</v>
      </c>
      <c r="B59" s="223" t="s">
        <v>161</v>
      </c>
      <c r="C59"/>
      <c r="D59"/>
      <c r="E59"/>
      <c r="F59" s="406" t="s">
        <v>185</v>
      </c>
      <c r="G59" s="407"/>
      <c r="H59" s="407"/>
      <c r="I59" s="407"/>
      <c r="J59" s="407"/>
      <c r="K59" s="407"/>
      <c r="L59" s="407"/>
      <c r="M59" s="407"/>
      <c r="N59" s="407"/>
      <c r="O59" s="407"/>
      <c r="P59" s="407"/>
      <c r="Q59" s="408"/>
      <c r="R59" s="406" t="s">
        <v>186</v>
      </c>
      <c r="S59" s="409"/>
      <c r="T59" s="409"/>
      <c r="U59" s="409"/>
      <c r="V59" s="409"/>
      <c r="W59" s="409"/>
      <c r="X59" s="409"/>
      <c r="Y59" s="409"/>
      <c r="Z59" s="409"/>
      <c r="AA59" s="409"/>
      <c r="AB59" s="409"/>
      <c r="AC59" s="409"/>
      <c r="AD59" s="410"/>
      <c r="AE59" s="406" t="s">
        <v>187</v>
      </c>
      <c r="AF59" s="407"/>
      <c r="AG59" s="407"/>
      <c r="AH59" s="407"/>
      <c r="AI59" s="407"/>
      <c r="AJ59" s="407"/>
      <c r="AK59" s="407"/>
      <c r="AL59" s="407"/>
      <c r="AM59" s="407"/>
      <c r="AN59" s="407"/>
      <c r="AO59" s="407"/>
      <c r="AP59" s="408"/>
      <c r="AQ59" s="406" t="s">
        <v>188</v>
      </c>
      <c r="AR59" s="407"/>
      <c r="AS59" s="407"/>
      <c r="AT59" s="407"/>
      <c r="AU59" s="407"/>
      <c r="AV59" s="407"/>
      <c r="AW59" s="407"/>
      <c r="AX59" s="407"/>
      <c r="AY59" s="407"/>
      <c r="AZ59" s="407"/>
      <c r="BA59" s="407"/>
      <c r="BB59" s="408"/>
    </row>
    <row r="60" spans="1:54" ht="13.5" hidden="1" thickBot="1">
      <c r="A60" s="149">
        <v>12</v>
      </c>
      <c r="B60" s="223" t="s">
        <v>162</v>
      </c>
      <c r="C60"/>
      <c r="D60"/>
      <c r="E60" s="153" t="s">
        <v>189</v>
      </c>
      <c r="F60" s="154" t="s">
        <v>171</v>
      </c>
      <c r="G60" s="226" t="s">
        <v>172</v>
      </c>
      <c r="H60" s="226" t="s">
        <v>173</v>
      </c>
      <c r="I60" s="226" t="s">
        <v>174</v>
      </c>
      <c r="J60" s="226" t="s">
        <v>2</v>
      </c>
      <c r="K60" s="226" t="s">
        <v>175</v>
      </c>
      <c r="L60" s="226" t="s">
        <v>176</v>
      </c>
      <c r="M60" s="226" t="s">
        <v>177</v>
      </c>
      <c r="N60" s="226" t="s">
        <v>178</v>
      </c>
      <c r="O60" s="226" t="s">
        <v>180</v>
      </c>
      <c r="P60" s="226" t="s">
        <v>181</v>
      </c>
      <c r="Q60" s="155" t="s">
        <v>182</v>
      </c>
      <c r="R60" s="154" t="s">
        <v>171</v>
      </c>
      <c r="S60" s="226" t="s">
        <v>172</v>
      </c>
      <c r="T60" s="226" t="s">
        <v>173</v>
      </c>
      <c r="U60" s="226" t="s">
        <v>174</v>
      </c>
      <c r="V60" s="226" t="s">
        <v>2</v>
      </c>
      <c r="W60" s="226" t="s">
        <v>175</v>
      </c>
      <c r="X60" s="226" t="s">
        <v>176</v>
      </c>
      <c r="Y60" s="226" t="s">
        <v>177</v>
      </c>
      <c r="Z60" s="226" t="s">
        <v>178</v>
      </c>
      <c r="AA60" s="226" t="s">
        <v>180</v>
      </c>
      <c r="AB60" s="226" t="s">
        <v>181</v>
      </c>
      <c r="AC60" s="226" t="s">
        <v>182</v>
      </c>
      <c r="AD60" s="155" t="s">
        <v>190</v>
      </c>
      <c r="AE60" s="154" t="s">
        <v>171</v>
      </c>
      <c r="AF60" s="226" t="s">
        <v>172</v>
      </c>
      <c r="AG60" s="226" t="s">
        <v>173</v>
      </c>
      <c r="AH60" s="226" t="s">
        <v>174</v>
      </c>
      <c r="AI60" s="226" t="s">
        <v>2</v>
      </c>
      <c r="AJ60" s="226" t="s">
        <v>175</v>
      </c>
      <c r="AK60" s="226" t="s">
        <v>176</v>
      </c>
      <c r="AL60" s="226" t="s">
        <v>177</v>
      </c>
      <c r="AM60" s="226" t="s">
        <v>178</v>
      </c>
      <c r="AN60" s="226" t="s">
        <v>180</v>
      </c>
      <c r="AO60" s="226" t="s">
        <v>181</v>
      </c>
      <c r="AP60" s="155" t="s">
        <v>182</v>
      </c>
      <c r="AQ60" s="154" t="s">
        <v>171</v>
      </c>
      <c r="AR60" s="226" t="s">
        <v>172</v>
      </c>
      <c r="AS60" s="226" t="s">
        <v>173</v>
      </c>
      <c r="AT60" s="226" t="s">
        <v>174</v>
      </c>
      <c r="AU60" s="226" t="s">
        <v>2</v>
      </c>
      <c r="AV60" s="226" t="s">
        <v>175</v>
      </c>
      <c r="AW60" s="226" t="s">
        <v>176</v>
      </c>
      <c r="AX60" s="226" t="s">
        <v>177</v>
      </c>
      <c r="AY60" s="226" t="s">
        <v>178</v>
      </c>
      <c r="AZ60" s="226" t="s">
        <v>180</v>
      </c>
      <c r="BA60" s="226" t="s">
        <v>181</v>
      </c>
      <c r="BB60" s="155" t="s">
        <v>182</v>
      </c>
    </row>
    <row r="61" spans="1:54" hidden="1">
      <c r="A61" s="151">
        <v>7.4805200000000003</v>
      </c>
      <c r="B61" s="223" t="s">
        <v>163</v>
      </c>
      <c r="C61"/>
      <c r="D61"/>
      <c r="E61" s="156" t="s">
        <v>191</v>
      </c>
      <c r="F61" s="157">
        <v>31.7</v>
      </c>
      <c r="G61" s="229">
        <v>33.700000000000003</v>
      </c>
      <c r="H61" s="229">
        <v>42.1</v>
      </c>
      <c r="I61" s="229">
        <v>52.8</v>
      </c>
      <c r="J61" s="229">
        <v>62.7</v>
      </c>
      <c r="K61" s="229">
        <v>71.2</v>
      </c>
      <c r="L61" s="229">
        <v>75.7</v>
      </c>
      <c r="M61" s="229">
        <v>74.5</v>
      </c>
      <c r="N61" s="229">
        <v>67.900000000000006</v>
      </c>
      <c r="O61" s="229">
        <v>56.3</v>
      </c>
      <c r="P61" s="229">
        <v>45.8</v>
      </c>
      <c r="Q61" s="158">
        <v>35.6</v>
      </c>
      <c r="R61" s="157">
        <v>0</v>
      </c>
      <c r="S61" s="229">
        <v>0.1</v>
      </c>
      <c r="T61" s="229">
        <v>0.6</v>
      </c>
      <c r="U61" s="229">
        <v>1.8</v>
      </c>
      <c r="V61" s="229">
        <v>3.3</v>
      </c>
      <c r="W61" s="229">
        <v>4.8</v>
      </c>
      <c r="X61" s="229">
        <v>5.4</v>
      </c>
      <c r="Y61" s="229">
        <v>4.9000000000000004</v>
      </c>
      <c r="Z61" s="229">
        <v>3.5</v>
      </c>
      <c r="AA61" s="229">
        <v>1.9</v>
      </c>
      <c r="AB61" s="229">
        <v>0.8</v>
      </c>
      <c r="AC61" s="229">
        <v>0.1</v>
      </c>
      <c r="AD61" s="158">
        <v>27.2</v>
      </c>
      <c r="AE61" s="159">
        <v>2.6</v>
      </c>
      <c r="AF61" s="160">
        <v>2.8</v>
      </c>
      <c r="AG61" s="160">
        <v>3.4</v>
      </c>
      <c r="AH61" s="160">
        <v>3.6</v>
      </c>
      <c r="AI61" s="160">
        <v>3.7</v>
      </c>
      <c r="AJ61" s="160">
        <v>3.9</v>
      </c>
      <c r="AK61" s="160">
        <v>4.4000000000000004</v>
      </c>
      <c r="AL61" s="160">
        <v>4.0999999999999996</v>
      </c>
      <c r="AM61" s="160">
        <v>3.8</v>
      </c>
      <c r="AN61" s="160">
        <v>3.3</v>
      </c>
      <c r="AO61" s="160">
        <v>3.1</v>
      </c>
      <c r="AP61" s="161">
        <v>3.6</v>
      </c>
      <c r="AQ61" s="159">
        <v>4.4000000000000004</v>
      </c>
      <c r="AR61" s="160">
        <v>4</v>
      </c>
      <c r="AS61" s="160">
        <v>4.9000000000000004</v>
      </c>
      <c r="AT61" s="160">
        <v>5</v>
      </c>
      <c r="AU61" s="160">
        <v>5.2</v>
      </c>
      <c r="AV61" s="160">
        <v>5.4</v>
      </c>
      <c r="AW61" s="160">
        <v>6.4</v>
      </c>
      <c r="AX61" s="160">
        <v>6.4</v>
      </c>
      <c r="AY61" s="160">
        <v>5.5</v>
      </c>
      <c r="AZ61" s="160">
        <v>4.7</v>
      </c>
      <c r="BA61" s="160">
        <v>4.5</v>
      </c>
      <c r="BB61" s="161">
        <v>5.4</v>
      </c>
    </row>
    <row r="62" spans="1:54" hidden="1">
      <c r="A62" s="149">
        <v>43560</v>
      </c>
      <c r="B62" s="223" t="s">
        <v>164</v>
      </c>
      <c r="C62"/>
      <c r="D62"/>
      <c r="E62" s="162" t="s">
        <v>192</v>
      </c>
      <c r="F62" s="157">
        <v>31.2</v>
      </c>
      <c r="G62" s="229">
        <v>33.200000000000003</v>
      </c>
      <c r="H62" s="229">
        <v>41.8</v>
      </c>
      <c r="I62" s="229">
        <v>52.4</v>
      </c>
      <c r="J62" s="229">
        <v>62.2</v>
      </c>
      <c r="K62" s="229">
        <v>71.2</v>
      </c>
      <c r="L62" s="229">
        <v>76</v>
      </c>
      <c r="M62" s="229">
        <v>74.8</v>
      </c>
      <c r="N62" s="229">
        <v>67.900000000000006</v>
      </c>
      <c r="O62" s="229">
        <v>56.2</v>
      </c>
      <c r="P62" s="229">
        <v>45.6</v>
      </c>
      <c r="Q62" s="158">
        <v>35.5</v>
      </c>
      <c r="R62" s="157">
        <v>0</v>
      </c>
      <c r="S62" s="229">
        <v>0</v>
      </c>
      <c r="T62" s="229">
        <v>0.6</v>
      </c>
      <c r="U62" s="229">
        <v>1.8</v>
      </c>
      <c r="V62" s="229">
        <v>3.2</v>
      </c>
      <c r="W62" s="229">
        <v>4.8</v>
      </c>
      <c r="X62" s="229">
        <v>5.5</v>
      </c>
      <c r="Y62" s="229">
        <v>5</v>
      </c>
      <c r="Z62" s="229">
        <v>3.5</v>
      </c>
      <c r="AA62" s="229">
        <v>1.9</v>
      </c>
      <c r="AB62" s="229">
        <v>0.8</v>
      </c>
      <c r="AC62" s="229">
        <v>0.1</v>
      </c>
      <c r="AD62" s="158">
        <v>27.1</v>
      </c>
      <c r="AE62" s="157">
        <v>2.9</v>
      </c>
      <c r="AF62" s="163">
        <v>3.1</v>
      </c>
      <c r="AG62" s="163">
        <v>3.7</v>
      </c>
      <c r="AH62" s="163">
        <v>3.4</v>
      </c>
      <c r="AI62" s="163">
        <v>3.6</v>
      </c>
      <c r="AJ62" s="163">
        <v>3.6</v>
      </c>
      <c r="AK62" s="163">
        <v>4</v>
      </c>
      <c r="AL62" s="163">
        <v>3.6</v>
      </c>
      <c r="AM62" s="163">
        <v>3.7</v>
      </c>
      <c r="AN62" s="163">
        <v>2.9</v>
      </c>
      <c r="AO62" s="163">
        <v>3.2</v>
      </c>
      <c r="AP62" s="158">
        <v>3.5</v>
      </c>
      <c r="AQ62" s="157">
        <v>4.3</v>
      </c>
      <c r="AR62" s="163">
        <v>4.7</v>
      </c>
      <c r="AS62" s="163">
        <v>5.0999999999999996</v>
      </c>
      <c r="AT62" s="163">
        <v>4.8</v>
      </c>
      <c r="AU62" s="163">
        <v>5.0999999999999996</v>
      </c>
      <c r="AV62" s="163">
        <v>5</v>
      </c>
      <c r="AW62" s="163">
        <v>5.7</v>
      </c>
      <c r="AX62" s="163">
        <v>5.7</v>
      </c>
      <c r="AY62" s="163">
        <v>5.6</v>
      </c>
      <c r="AZ62" s="163">
        <v>4.0999999999999996</v>
      </c>
      <c r="BA62" s="163">
        <v>4.9000000000000004</v>
      </c>
      <c r="BB62" s="158">
        <v>5.2</v>
      </c>
    </row>
    <row r="63" spans="1:54" hidden="1">
      <c r="A63" s="150">
        <f>1/((acre_to_sqft/ft_to_in)*cf_to_gal/1000000)</f>
        <v>36.826596769196776</v>
      </c>
      <c r="B63" s="223" t="s">
        <v>165</v>
      </c>
      <c r="C63"/>
      <c r="D63"/>
      <c r="E63" s="162" t="s">
        <v>193</v>
      </c>
      <c r="F63" s="157">
        <v>30.8</v>
      </c>
      <c r="G63" s="229">
        <v>32.6</v>
      </c>
      <c r="H63" s="229">
        <v>41</v>
      </c>
      <c r="I63" s="229">
        <v>51.8</v>
      </c>
      <c r="J63" s="229">
        <v>61.6</v>
      </c>
      <c r="K63" s="229">
        <v>70.400000000000006</v>
      </c>
      <c r="L63" s="229">
        <v>74.900000000000006</v>
      </c>
      <c r="M63" s="229">
        <v>73.7</v>
      </c>
      <c r="N63" s="229">
        <v>66.900000000000006</v>
      </c>
      <c r="O63" s="229">
        <v>55.7</v>
      </c>
      <c r="P63" s="229">
        <v>45.2</v>
      </c>
      <c r="Q63" s="158">
        <v>35.1</v>
      </c>
      <c r="R63" s="157">
        <v>0</v>
      </c>
      <c r="S63" s="229">
        <v>0</v>
      </c>
      <c r="T63" s="229">
        <v>0.6</v>
      </c>
      <c r="U63" s="229">
        <v>1.7</v>
      </c>
      <c r="V63" s="229">
        <v>3.2</v>
      </c>
      <c r="W63" s="229">
        <v>4.7</v>
      </c>
      <c r="X63" s="229">
        <v>5.3</v>
      </c>
      <c r="Y63" s="229">
        <v>4.8</v>
      </c>
      <c r="Z63" s="229">
        <v>3.4</v>
      </c>
      <c r="AA63" s="229">
        <v>1.9</v>
      </c>
      <c r="AB63" s="229">
        <v>0.8</v>
      </c>
      <c r="AC63" s="229">
        <v>0.1</v>
      </c>
      <c r="AD63" s="158">
        <v>26.5</v>
      </c>
      <c r="AE63" s="157">
        <v>3.2</v>
      </c>
      <c r="AF63" s="163">
        <v>3.2</v>
      </c>
      <c r="AG63" s="163">
        <v>4</v>
      </c>
      <c r="AH63" s="163">
        <v>4</v>
      </c>
      <c r="AI63" s="163">
        <v>3.9</v>
      </c>
      <c r="AJ63" s="163">
        <v>4.2</v>
      </c>
      <c r="AK63" s="163">
        <v>4.2</v>
      </c>
      <c r="AL63" s="163">
        <v>4.0999999999999996</v>
      </c>
      <c r="AM63" s="163">
        <v>4</v>
      </c>
      <c r="AN63" s="163">
        <v>3.4</v>
      </c>
      <c r="AO63" s="163">
        <v>3.7</v>
      </c>
      <c r="AP63" s="158">
        <v>3.8</v>
      </c>
      <c r="AQ63" s="157">
        <v>4.7</v>
      </c>
      <c r="AR63" s="163">
        <v>4.5</v>
      </c>
      <c r="AS63" s="163">
        <v>5.5</v>
      </c>
      <c r="AT63" s="163">
        <v>5.6</v>
      </c>
      <c r="AU63" s="163">
        <v>5.7</v>
      </c>
      <c r="AV63" s="163">
        <v>5.8</v>
      </c>
      <c r="AW63" s="163">
        <v>6.3</v>
      </c>
      <c r="AX63" s="163">
        <v>6.3</v>
      </c>
      <c r="AY63" s="163">
        <v>6</v>
      </c>
      <c r="AZ63" s="163">
        <v>4.7</v>
      </c>
      <c r="BA63" s="163">
        <v>5.7</v>
      </c>
      <c r="BB63" s="158">
        <v>5.8</v>
      </c>
    </row>
    <row r="64" spans="1:54" hidden="1">
      <c r="A64" s="223">
        <f>1/((acre_to_sqft/ft_to_in)*cf_to_gal)</f>
        <v>3.6826596769196772E-5</v>
      </c>
      <c r="B64" s="223" t="s">
        <v>288</v>
      </c>
      <c r="C64"/>
      <c r="D64"/>
      <c r="E64" s="162" t="s">
        <v>194</v>
      </c>
      <c r="F64" s="157">
        <v>31.3</v>
      </c>
      <c r="G64" s="229">
        <v>34.4</v>
      </c>
      <c r="H64" s="229">
        <v>42.6</v>
      </c>
      <c r="I64" s="229">
        <v>53.2</v>
      </c>
      <c r="J64" s="229">
        <v>63</v>
      </c>
      <c r="K64" s="229">
        <v>72.099999999999994</v>
      </c>
      <c r="L64" s="229">
        <v>76</v>
      </c>
      <c r="M64" s="229">
        <v>74.8</v>
      </c>
      <c r="N64" s="229">
        <v>68.8</v>
      </c>
      <c r="O64" s="229">
        <v>56.9</v>
      </c>
      <c r="P64" s="229">
        <v>46.8</v>
      </c>
      <c r="Q64" s="158">
        <v>37.200000000000003</v>
      </c>
      <c r="R64" s="157">
        <v>0</v>
      </c>
      <c r="S64" s="229">
        <v>0.1</v>
      </c>
      <c r="T64" s="229">
        <v>0.6</v>
      </c>
      <c r="U64" s="229">
        <v>1.8</v>
      </c>
      <c r="V64" s="229">
        <v>3.3</v>
      </c>
      <c r="W64" s="229">
        <v>4.9000000000000004</v>
      </c>
      <c r="X64" s="229">
        <v>5.5</v>
      </c>
      <c r="Y64" s="229">
        <v>4.9000000000000004</v>
      </c>
      <c r="Z64" s="229">
        <v>3.6</v>
      </c>
      <c r="AA64" s="229">
        <v>1.9</v>
      </c>
      <c r="AB64" s="229">
        <v>0.8</v>
      </c>
      <c r="AC64" s="229">
        <v>0.2</v>
      </c>
      <c r="AD64" s="158">
        <v>27.7</v>
      </c>
      <c r="AE64" s="157">
        <v>2.8</v>
      </c>
      <c r="AF64" s="163">
        <v>2.9</v>
      </c>
      <c r="AG64" s="163">
        <v>3.5</v>
      </c>
      <c r="AH64" s="163">
        <v>3.5</v>
      </c>
      <c r="AI64" s="163">
        <v>3.4</v>
      </c>
      <c r="AJ64" s="163">
        <v>3.6</v>
      </c>
      <c r="AK64" s="163">
        <v>3.7</v>
      </c>
      <c r="AL64" s="163">
        <v>3.4</v>
      </c>
      <c r="AM64" s="163">
        <v>3.6</v>
      </c>
      <c r="AN64" s="163">
        <v>3.3</v>
      </c>
      <c r="AO64" s="163">
        <v>3.2</v>
      </c>
      <c r="AP64" s="158">
        <v>3.3</v>
      </c>
      <c r="AQ64" s="157">
        <v>4.0999999999999996</v>
      </c>
      <c r="AR64" s="163">
        <v>4.0999999999999996</v>
      </c>
      <c r="AS64" s="163">
        <v>4.9000000000000004</v>
      </c>
      <c r="AT64" s="163">
        <v>4.8</v>
      </c>
      <c r="AU64" s="163">
        <v>5</v>
      </c>
      <c r="AV64" s="163">
        <v>5.3</v>
      </c>
      <c r="AW64" s="163">
        <v>5.3</v>
      </c>
      <c r="AX64" s="163">
        <v>5.0999999999999996</v>
      </c>
      <c r="AY64" s="163">
        <v>5.5</v>
      </c>
      <c r="AZ64" s="163">
        <v>4.8</v>
      </c>
      <c r="BA64" s="163">
        <v>4.5999999999999996</v>
      </c>
      <c r="BB64" s="158">
        <v>4.9000000000000004</v>
      </c>
    </row>
    <row r="65" spans="1:54" hidden="1">
      <c r="A65" s="149">
        <v>7</v>
      </c>
      <c r="B65" s="223" t="s">
        <v>166</v>
      </c>
      <c r="C65"/>
      <c r="D65"/>
      <c r="E65" s="162" t="s">
        <v>195</v>
      </c>
      <c r="F65" s="157">
        <v>34.299999999999997</v>
      </c>
      <c r="G65" s="229">
        <v>36</v>
      </c>
      <c r="H65" s="229">
        <v>43.8</v>
      </c>
      <c r="I65" s="229">
        <v>54.2</v>
      </c>
      <c r="J65" s="229">
        <v>63.7</v>
      </c>
      <c r="K65" s="229">
        <v>72</v>
      </c>
      <c r="L65" s="229">
        <v>76.2</v>
      </c>
      <c r="M65" s="229">
        <v>74.7</v>
      </c>
      <c r="N65" s="229">
        <v>68.400000000000006</v>
      </c>
      <c r="O65" s="229">
        <v>57.4</v>
      </c>
      <c r="P65" s="229">
        <v>47.5</v>
      </c>
      <c r="Q65" s="158">
        <v>38.1</v>
      </c>
      <c r="R65" s="157">
        <v>0.1</v>
      </c>
      <c r="S65" s="229">
        <v>0.1</v>
      </c>
      <c r="T65" s="229">
        <v>0.7</v>
      </c>
      <c r="U65" s="229">
        <v>1.9</v>
      </c>
      <c r="V65" s="229">
        <v>3.4</v>
      </c>
      <c r="W65" s="229">
        <v>4.8</v>
      </c>
      <c r="X65" s="229">
        <v>5.5</v>
      </c>
      <c r="Y65" s="229">
        <v>4.9000000000000004</v>
      </c>
      <c r="Z65" s="229">
        <v>3.6</v>
      </c>
      <c r="AA65" s="229">
        <v>1.9</v>
      </c>
      <c r="AB65" s="229">
        <v>0.9</v>
      </c>
      <c r="AC65" s="229">
        <v>0.2</v>
      </c>
      <c r="AD65" s="158">
        <v>28</v>
      </c>
      <c r="AE65" s="157">
        <v>3.4</v>
      </c>
      <c r="AF65" s="163">
        <v>3.3</v>
      </c>
      <c r="AG65" s="163">
        <v>3.8</v>
      </c>
      <c r="AH65" s="163">
        <v>3.3</v>
      </c>
      <c r="AI65" s="163">
        <v>3.6</v>
      </c>
      <c r="AJ65" s="163">
        <v>3.7</v>
      </c>
      <c r="AK65" s="163">
        <v>4.0999999999999996</v>
      </c>
      <c r="AL65" s="163">
        <v>4.7</v>
      </c>
      <c r="AM65" s="163">
        <v>3.7</v>
      </c>
      <c r="AN65" s="163">
        <v>3.3</v>
      </c>
      <c r="AO65" s="163">
        <v>3.1</v>
      </c>
      <c r="AP65" s="158">
        <v>3.6</v>
      </c>
      <c r="AQ65" s="157">
        <v>4.7</v>
      </c>
      <c r="AR65" s="163">
        <v>4.5</v>
      </c>
      <c r="AS65" s="163">
        <v>5.2</v>
      </c>
      <c r="AT65" s="163">
        <v>4.5</v>
      </c>
      <c r="AU65" s="163">
        <v>5.2</v>
      </c>
      <c r="AV65" s="163">
        <v>5.2</v>
      </c>
      <c r="AW65" s="163">
        <v>6.4</v>
      </c>
      <c r="AX65" s="163">
        <v>8</v>
      </c>
      <c r="AY65" s="163">
        <v>5.3</v>
      </c>
      <c r="AZ65" s="163">
        <v>5.0999999999999996</v>
      </c>
      <c r="BA65" s="163">
        <v>4.5</v>
      </c>
      <c r="BB65" s="158">
        <v>5.4</v>
      </c>
    </row>
    <row r="66" spans="1:54" hidden="1">
      <c r="A66" s="149">
        <v>119826</v>
      </c>
      <c r="B66" s="223" t="s">
        <v>167</v>
      </c>
      <c r="C66"/>
      <c r="D66"/>
      <c r="E66" s="162" t="s">
        <v>196</v>
      </c>
      <c r="F66" s="157">
        <v>34.299999999999997</v>
      </c>
      <c r="G66" s="229">
        <v>36.299999999999997</v>
      </c>
      <c r="H66" s="229">
        <v>44.2</v>
      </c>
      <c r="I66" s="229">
        <v>54.7</v>
      </c>
      <c r="J66" s="229">
        <v>64.2</v>
      </c>
      <c r="K66" s="229">
        <v>72.7</v>
      </c>
      <c r="L66" s="229">
        <v>77</v>
      </c>
      <c r="M66" s="229">
        <v>75.7</v>
      </c>
      <c r="N66" s="229">
        <v>73</v>
      </c>
      <c r="O66" s="229">
        <v>58.6</v>
      </c>
      <c r="P66" s="229">
        <v>48.2</v>
      </c>
      <c r="Q66" s="158">
        <v>38.5</v>
      </c>
      <c r="R66" s="157">
        <v>0.1</v>
      </c>
      <c r="S66" s="229">
        <v>0.1</v>
      </c>
      <c r="T66" s="229">
        <v>0.7</v>
      </c>
      <c r="U66" s="229">
        <v>1.9</v>
      </c>
      <c r="V66" s="229">
        <v>3.4</v>
      </c>
      <c r="W66" s="229">
        <v>4.9000000000000004</v>
      </c>
      <c r="X66" s="229">
        <v>5.6</v>
      </c>
      <c r="Y66" s="229">
        <v>5.0999999999999996</v>
      </c>
      <c r="Z66" s="229">
        <v>4.2</v>
      </c>
      <c r="AA66" s="229">
        <v>2</v>
      </c>
      <c r="AB66" s="229">
        <v>0.9</v>
      </c>
      <c r="AC66" s="229">
        <v>0.2</v>
      </c>
      <c r="AD66" s="158">
        <v>29</v>
      </c>
      <c r="AE66" s="157">
        <v>3.1</v>
      </c>
      <c r="AF66" s="163">
        <v>3</v>
      </c>
      <c r="AG66" s="163">
        <v>3.7</v>
      </c>
      <c r="AH66" s="163">
        <v>3.4</v>
      </c>
      <c r="AI66" s="163">
        <v>3.6</v>
      </c>
      <c r="AJ66" s="163">
        <v>3.7</v>
      </c>
      <c r="AK66" s="163">
        <v>4.4000000000000004</v>
      </c>
      <c r="AL66" s="163">
        <v>4.5</v>
      </c>
      <c r="AM66" s="163">
        <v>4.5</v>
      </c>
      <c r="AN66" s="163">
        <v>3.4</v>
      </c>
      <c r="AO66" s="163">
        <v>3.3</v>
      </c>
      <c r="AP66" s="158">
        <v>3.5</v>
      </c>
      <c r="AQ66" s="157">
        <v>4.5999999999999996</v>
      </c>
      <c r="AR66" s="163">
        <v>4.3</v>
      </c>
      <c r="AS66" s="163">
        <v>5.3</v>
      </c>
      <c r="AT66" s="163">
        <v>4.9000000000000004</v>
      </c>
      <c r="AU66" s="163">
        <v>5.2</v>
      </c>
      <c r="AV66" s="163">
        <v>5.2</v>
      </c>
      <c r="AW66" s="163">
        <v>7</v>
      </c>
      <c r="AX66" s="163">
        <v>7.4</v>
      </c>
      <c r="AY66" s="163">
        <v>6.8</v>
      </c>
      <c r="AZ66" s="163">
        <v>5</v>
      </c>
      <c r="BA66" s="163">
        <v>4.9000000000000004</v>
      </c>
      <c r="BB66" s="158">
        <v>5.2</v>
      </c>
    </row>
    <row r="67" spans="1:54" hidden="1">
      <c r="A67" s="190">
        <v>0.43640000000000001</v>
      </c>
      <c r="B67" s="223" t="s">
        <v>259</v>
      </c>
      <c r="C67"/>
      <c r="D67"/>
      <c r="E67" s="162" t="s">
        <v>197</v>
      </c>
      <c r="F67" s="157">
        <v>34.200000000000003</v>
      </c>
      <c r="G67" s="229">
        <v>35.799999999999997</v>
      </c>
      <c r="H67" s="229">
        <v>43.5</v>
      </c>
      <c r="I67" s="229">
        <v>53.6</v>
      </c>
      <c r="J67" s="229">
        <v>63.1</v>
      </c>
      <c r="K67" s="229">
        <v>71.5</v>
      </c>
      <c r="L67" s="229">
        <v>76.099999999999994</v>
      </c>
      <c r="M67" s="229">
        <v>74.900000000000006</v>
      </c>
      <c r="N67" s="229">
        <v>68.400000000000006</v>
      </c>
      <c r="O67" s="229">
        <v>57</v>
      </c>
      <c r="P67" s="229">
        <v>47.2</v>
      </c>
      <c r="Q67" s="158">
        <v>37.799999999999997</v>
      </c>
      <c r="R67" s="157">
        <v>0.1</v>
      </c>
      <c r="S67" s="229">
        <v>0.1</v>
      </c>
      <c r="T67" s="229">
        <v>0.7</v>
      </c>
      <c r="U67" s="229">
        <v>1.8</v>
      </c>
      <c r="V67" s="229">
        <v>3.3</v>
      </c>
      <c r="W67" s="229">
        <v>4.8</v>
      </c>
      <c r="X67" s="229">
        <v>5.5</v>
      </c>
      <c r="Y67" s="229">
        <v>4.9000000000000004</v>
      </c>
      <c r="Z67" s="229">
        <v>3.6</v>
      </c>
      <c r="AA67" s="229">
        <v>1.9</v>
      </c>
      <c r="AB67" s="229">
        <v>0.9</v>
      </c>
      <c r="AC67" s="229">
        <v>0.2</v>
      </c>
      <c r="AD67" s="158">
        <v>27.7</v>
      </c>
      <c r="AE67" s="157">
        <v>3.3</v>
      </c>
      <c r="AF67" s="163">
        <v>3.2</v>
      </c>
      <c r="AG67" s="163">
        <v>4.0999999999999996</v>
      </c>
      <c r="AH67" s="163">
        <v>3.2</v>
      </c>
      <c r="AI67" s="163">
        <v>3.4</v>
      </c>
      <c r="AJ67" s="163">
        <v>3.6</v>
      </c>
      <c r="AK67" s="163">
        <v>3.9</v>
      </c>
      <c r="AL67" s="163">
        <v>5.3</v>
      </c>
      <c r="AM67" s="163">
        <v>3.6</v>
      </c>
      <c r="AN67" s="163">
        <v>3.5</v>
      </c>
      <c r="AO67" s="163">
        <v>3.1</v>
      </c>
      <c r="AP67" s="158">
        <v>3.6</v>
      </c>
      <c r="AQ67" s="157">
        <v>4.7</v>
      </c>
      <c r="AR67" s="163">
        <v>4.4000000000000004</v>
      </c>
      <c r="AS67" s="163">
        <v>5.6</v>
      </c>
      <c r="AT67" s="163">
        <v>4.5</v>
      </c>
      <c r="AU67" s="163">
        <v>5</v>
      </c>
      <c r="AV67" s="163">
        <v>5.0999999999999996</v>
      </c>
      <c r="AW67" s="163">
        <v>6.3</v>
      </c>
      <c r="AX67" s="163">
        <v>8.1999999999999993</v>
      </c>
      <c r="AY67" s="163">
        <v>5.2</v>
      </c>
      <c r="AZ67" s="163">
        <v>5.4</v>
      </c>
      <c r="BA67" s="163">
        <v>4.5999999999999996</v>
      </c>
      <c r="BB67" s="158">
        <v>5.2</v>
      </c>
    </row>
    <row r="68" spans="1:54" hidden="1">
      <c r="A68"/>
      <c r="B68"/>
      <c r="C68"/>
      <c r="D68"/>
      <c r="E68" s="162" t="s">
        <v>198</v>
      </c>
      <c r="F68" s="157">
        <v>34.6</v>
      </c>
      <c r="G68" s="229">
        <v>36.1</v>
      </c>
      <c r="H68" s="229">
        <v>43.3</v>
      </c>
      <c r="I68" s="229">
        <v>53.1</v>
      </c>
      <c r="J68" s="229">
        <v>62.1</v>
      </c>
      <c r="K68" s="229">
        <v>70.7</v>
      </c>
      <c r="L68" s="229">
        <v>75.2</v>
      </c>
      <c r="M68" s="229">
        <v>74.3</v>
      </c>
      <c r="N68" s="229">
        <v>68.400000000000006</v>
      </c>
      <c r="O68" s="229">
        <v>57.5</v>
      </c>
      <c r="P68" s="229">
        <v>48</v>
      </c>
      <c r="Q68" s="158">
        <v>38.5</v>
      </c>
      <c r="R68" s="157">
        <v>0.1</v>
      </c>
      <c r="S68" s="229">
        <v>0.2</v>
      </c>
      <c r="T68" s="229">
        <v>0.7</v>
      </c>
      <c r="U68" s="229">
        <v>1.8</v>
      </c>
      <c r="V68" s="229">
        <v>3.2</v>
      </c>
      <c r="W68" s="229">
        <v>4.5999999999999996</v>
      </c>
      <c r="X68" s="229">
        <v>5.3</v>
      </c>
      <c r="Y68" s="229">
        <v>4.8</v>
      </c>
      <c r="Z68" s="229">
        <v>3.6</v>
      </c>
      <c r="AA68" s="229">
        <v>2</v>
      </c>
      <c r="AB68" s="229">
        <v>0.9</v>
      </c>
      <c r="AC68" s="229">
        <v>0.3</v>
      </c>
      <c r="AD68" s="158">
        <v>27.5</v>
      </c>
      <c r="AE68" s="157">
        <v>3.4</v>
      </c>
      <c r="AF68" s="163">
        <v>3.4</v>
      </c>
      <c r="AG68" s="163">
        <v>4.2</v>
      </c>
      <c r="AH68" s="163">
        <v>3.6</v>
      </c>
      <c r="AI68" s="163">
        <v>3.7</v>
      </c>
      <c r="AJ68" s="163">
        <v>3.7</v>
      </c>
      <c r="AK68" s="163">
        <v>4.2</v>
      </c>
      <c r="AL68" s="163">
        <v>5.3</v>
      </c>
      <c r="AM68" s="163">
        <v>3.3</v>
      </c>
      <c r="AN68" s="163">
        <v>3.4</v>
      </c>
      <c r="AO68" s="163">
        <v>3.4</v>
      </c>
      <c r="AP68" s="158">
        <v>3.8</v>
      </c>
      <c r="AQ68" s="157">
        <v>4.8</v>
      </c>
      <c r="AR68" s="163">
        <v>4.7</v>
      </c>
      <c r="AS68" s="163">
        <v>5.7</v>
      </c>
      <c r="AT68" s="163">
        <v>5.0999999999999996</v>
      </c>
      <c r="AU68" s="163">
        <v>5.4</v>
      </c>
      <c r="AV68" s="163">
        <v>5.2</v>
      </c>
      <c r="AW68" s="163">
        <v>6.3</v>
      </c>
      <c r="AX68" s="163">
        <v>8.1999999999999993</v>
      </c>
      <c r="AY68" s="163">
        <v>4.8</v>
      </c>
      <c r="AZ68" s="163">
        <v>5</v>
      </c>
      <c r="BA68" s="163">
        <v>4.9000000000000004</v>
      </c>
      <c r="BB68" s="158">
        <v>5.4</v>
      </c>
    </row>
    <row r="69" spans="1:54" ht="13.5" hidden="1" thickBot="1">
      <c r="A69" s="204"/>
      <c r="B69" s="223"/>
      <c r="C69"/>
      <c r="D69"/>
      <c r="E69" s="164" t="s">
        <v>199</v>
      </c>
      <c r="F69" s="154">
        <v>34.299999999999997</v>
      </c>
      <c r="G69" s="226">
        <v>35.799999999999997</v>
      </c>
      <c r="H69" s="226">
        <v>44.3</v>
      </c>
      <c r="I69" s="226">
        <v>54.4</v>
      </c>
      <c r="J69" s="226">
        <v>63.9</v>
      </c>
      <c r="K69" s="226">
        <v>72</v>
      </c>
      <c r="L69" s="226">
        <v>76.5</v>
      </c>
      <c r="M69" s="226">
        <v>75.2</v>
      </c>
      <c r="N69" s="226">
        <v>68.8</v>
      </c>
      <c r="O69" s="226">
        <v>57.7</v>
      </c>
      <c r="P69" s="226">
        <v>47.6</v>
      </c>
      <c r="Q69" s="155">
        <v>37.9</v>
      </c>
      <c r="R69" s="154">
        <v>0.1</v>
      </c>
      <c r="S69" s="226">
        <v>0.1</v>
      </c>
      <c r="T69" s="226">
        <v>0.7</v>
      </c>
      <c r="U69" s="226">
        <v>1.9</v>
      </c>
      <c r="V69" s="226">
        <v>3.4</v>
      </c>
      <c r="W69" s="226">
        <v>4.8</v>
      </c>
      <c r="X69" s="226">
        <v>5.5</v>
      </c>
      <c r="Y69" s="226">
        <v>5</v>
      </c>
      <c r="Z69" s="226">
        <v>3.6</v>
      </c>
      <c r="AA69" s="226">
        <v>2</v>
      </c>
      <c r="AB69" s="226">
        <v>0.9</v>
      </c>
      <c r="AC69" s="226">
        <v>0.2</v>
      </c>
      <c r="AD69" s="155">
        <v>28.2</v>
      </c>
      <c r="AE69" s="154">
        <v>3.3</v>
      </c>
      <c r="AF69" s="226">
        <v>3.3</v>
      </c>
      <c r="AG69" s="226">
        <v>4</v>
      </c>
      <c r="AH69" s="226">
        <v>3.4</v>
      </c>
      <c r="AI69" s="226">
        <v>3.7</v>
      </c>
      <c r="AJ69" s="226">
        <v>3.7</v>
      </c>
      <c r="AK69" s="226">
        <v>4.0999999999999996</v>
      </c>
      <c r="AL69" s="226">
        <v>4.4000000000000004</v>
      </c>
      <c r="AM69" s="226">
        <v>3.9</v>
      </c>
      <c r="AN69" s="226">
        <v>3.4</v>
      </c>
      <c r="AO69" s="226">
        <v>3.6</v>
      </c>
      <c r="AP69" s="155">
        <v>3.7</v>
      </c>
      <c r="AQ69" s="154">
        <v>4.7</v>
      </c>
      <c r="AR69" s="226">
        <v>4.5999999999999996</v>
      </c>
      <c r="AS69" s="226">
        <v>5.5</v>
      </c>
      <c r="AT69" s="226">
        <v>4.8</v>
      </c>
      <c r="AU69" s="226">
        <v>5.2</v>
      </c>
      <c r="AV69" s="226">
        <v>5.0999999999999996</v>
      </c>
      <c r="AW69" s="226">
        <v>6.6</v>
      </c>
      <c r="AX69" s="226">
        <v>7.1</v>
      </c>
      <c r="AY69" s="226">
        <v>5.5</v>
      </c>
      <c r="AZ69" s="226">
        <v>5.0999999999999996</v>
      </c>
      <c r="BA69" s="226">
        <v>4.8</v>
      </c>
      <c r="BB69" s="155">
        <v>5.4</v>
      </c>
    </row>
    <row r="70" spans="1:54" hidden="1">
      <c r="A70" s="204">
        <v>0.05</v>
      </c>
      <c r="B70" s="256" t="s">
        <v>283</v>
      </c>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row>
    <row r="71" spans="1:54" hidden="1">
      <c r="A71"/>
      <c r="B71"/>
      <c r="C71"/>
      <c r="D71"/>
      <c r="E71" t="s">
        <v>200</v>
      </c>
      <c r="F71"/>
      <c r="G71"/>
      <c r="H71"/>
      <c r="I71"/>
      <c r="J71"/>
      <c r="K71"/>
      <c r="L71"/>
      <c r="M71"/>
      <c r="N71"/>
      <c r="O71"/>
      <c r="P71"/>
      <c r="Q71"/>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c r="AR71"/>
      <c r="AS71"/>
      <c r="AT71"/>
      <c r="AU71"/>
      <c r="AV71"/>
      <c r="AW71"/>
      <c r="AX71"/>
      <c r="AY71"/>
      <c r="AZ71"/>
      <c r="BA71"/>
      <c r="BB71"/>
    </row>
    <row r="72" spans="1:54" hidden="1">
      <c r="A72" s="152" t="s">
        <v>168</v>
      </c>
      <c r="B72" s="152" t="s">
        <v>169</v>
      </c>
      <c r="C72" s="152" t="s">
        <v>170</v>
      </c>
      <c r="D72"/>
      <c r="E72" t="s">
        <v>201</v>
      </c>
      <c r="F72"/>
      <c r="G72"/>
      <c r="H72"/>
      <c r="I72"/>
      <c r="J72"/>
      <c r="K72"/>
      <c r="L72"/>
      <c r="M72" s="163"/>
      <c r="N72"/>
      <c r="O72"/>
      <c r="P72"/>
      <c r="Q72"/>
      <c r="R72" s="165"/>
      <c r="S72" s="165"/>
      <c r="T72" s="165"/>
      <c r="U72" s="165"/>
      <c r="V72" s="165"/>
      <c r="W72" s="165"/>
      <c r="X72" s="165"/>
      <c r="Y72" s="165"/>
      <c r="Z72" s="165"/>
      <c r="AA72" s="165"/>
      <c r="AB72" s="165"/>
      <c r="AC72" s="165"/>
      <c r="AD72" s="165"/>
      <c r="AE72"/>
      <c r="AF72"/>
      <c r="AG72"/>
      <c r="AH72"/>
      <c r="AI72"/>
      <c r="AJ72"/>
      <c r="AK72"/>
      <c r="AL72"/>
      <c r="AM72"/>
      <c r="AN72"/>
      <c r="AO72"/>
      <c r="AP72"/>
      <c r="AQ72"/>
      <c r="AR72"/>
      <c r="AS72"/>
      <c r="AT72"/>
      <c r="AU72"/>
      <c r="AV72"/>
      <c r="AW72"/>
      <c r="AX72"/>
      <c r="AY72"/>
      <c r="AZ72"/>
      <c r="BA72"/>
      <c r="BB72"/>
    </row>
    <row r="73" spans="1:54" hidden="1">
      <c r="A73" t="s">
        <v>171</v>
      </c>
      <c r="B73" t="s">
        <v>7</v>
      </c>
      <c r="C73">
        <v>31</v>
      </c>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row>
    <row r="74" spans="1:54" ht="13.5" hidden="1" thickBot="1">
      <c r="A74" t="s">
        <v>172</v>
      </c>
      <c r="B74" t="s">
        <v>8</v>
      </c>
      <c r="C74">
        <v>28</v>
      </c>
      <c r="D74"/>
      <c r="E74"/>
      <c r="F74"/>
      <c r="G74"/>
      <c r="H74"/>
      <c r="I74"/>
      <c r="J74"/>
      <c r="K74"/>
      <c r="L74" s="399" t="s">
        <v>202</v>
      </c>
      <c r="M74" s="399"/>
      <c r="N74" s="399"/>
      <c r="O74" s="399"/>
      <c r="P74" s="399"/>
      <c r="Q74" s="399"/>
      <c r="R74" s="399"/>
      <c r="S74" s="399"/>
      <c r="T74" s="399"/>
      <c r="U74" s="399"/>
      <c r="V74" s="399"/>
      <c r="W74" s="399"/>
      <c r="X74"/>
      <c r="Y74"/>
      <c r="Z74"/>
      <c r="AA74"/>
      <c r="AB74"/>
      <c r="AC74"/>
      <c r="AD74"/>
      <c r="AE74"/>
      <c r="AF74"/>
      <c r="AG74"/>
      <c r="AH74"/>
      <c r="AI74"/>
      <c r="AJ74"/>
      <c r="AK74"/>
      <c r="AL74"/>
      <c r="AM74"/>
      <c r="AN74"/>
      <c r="AO74"/>
      <c r="AP74"/>
      <c r="AQ74"/>
      <c r="AR74"/>
      <c r="AS74"/>
      <c r="AT74"/>
      <c r="AU74"/>
      <c r="AV74"/>
      <c r="AW74"/>
      <c r="AX74"/>
      <c r="AY74"/>
      <c r="AZ74"/>
      <c r="BA74"/>
      <c r="BB74"/>
    </row>
    <row r="75" spans="1:54" ht="39" hidden="1" thickBot="1">
      <c r="A75" t="s">
        <v>173</v>
      </c>
      <c r="B75" t="s">
        <v>9</v>
      </c>
      <c r="C75">
        <v>31</v>
      </c>
      <c r="D75"/>
      <c r="E75" s="400" t="s">
        <v>203</v>
      </c>
      <c r="F75" s="401"/>
      <c r="G75" s="227" t="s">
        <v>266</v>
      </c>
      <c r="H75" s="402" t="s">
        <v>204</v>
      </c>
      <c r="I75" s="402"/>
      <c r="J75" s="188" t="s">
        <v>256</v>
      </c>
      <c r="K75" s="188" t="s">
        <v>257</v>
      </c>
      <c r="L75" s="188" t="s">
        <v>255</v>
      </c>
      <c r="M75" s="188" t="s">
        <v>261</v>
      </c>
      <c r="N75" s="208" t="s">
        <v>281</v>
      </c>
      <c r="O75" s="188" t="s">
        <v>260</v>
      </c>
      <c r="P75" s="189" t="s">
        <v>258</v>
      </c>
      <c r="Q75" s="167" t="s">
        <v>171</v>
      </c>
      <c r="R75" s="228" t="s">
        <v>172</v>
      </c>
      <c r="S75" s="228" t="s">
        <v>173</v>
      </c>
      <c r="T75" s="228" t="s">
        <v>174</v>
      </c>
      <c r="U75" s="228" t="s">
        <v>2</v>
      </c>
      <c r="V75" s="228" t="s">
        <v>175</v>
      </c>
      <c r="W75" s="228" t="s">
        <v>176</v>
      </c>
      <c r="X75" s="228" t="s">
        <v>177</v>
      </c>
      <c r="Y75" s="228" t="s">
        <v>178</v>
      </c>
      <c r="Z75" s="228" t="s">
        <v>180</v>
      </c>
      <c r="AA75" s="228" t="s">
        <v>181</v>
      </c>
      <c r="AB75" s="166" t="s">
        <v>182</v>
      </c>
      <c r="AC75"/>
      <c r="AD75"/>
      <c r="AE75"/>
      <c r="AF75"/>
      <c r="AG75"/>
      <c r="AH75"/>
      <c r="AI75"/>
      <c r="AJ75"/>
      <c r="AK75"/>
      <c r="AL75"/>
      <c r="AM75"/>
      <c r="AN75"/>
      <c r="AO75"/>
      <c r="AP75"/>
      <c r="AQ75"/>
      <c r="AR75"/>
      <c r="AS75"/>
      <c r="AT75"/>
      <c r="AU75"/>
      <c r="AV75"/>
      <c r="AW75"/>
      <c r="AX75"/>
      <c r="AY75"/>
      <c r="AZ75"/>
      <c r="BA75"/>
      <c r="BB75"/>
    </row>
    <row r="76" spans="1:54" hidden="1">
      <c r="A76" t="s">
        <v>174</v>
      </c>
      <c r="B76" t="s">
        <v>10</v>
      </c>
      <c r="C76">
        <v>30</v>
      </c>
      <c r="D76"/>
      <c r="E76" s="258" t="s">
        <v>205</v>
      </c>
      <c r="F76" s="259"/>
      <c r="G76" s="229">
        <v>1</v>
      </c>
      <c r="H76" s="403" t="s">
        <v>205</v>
      </c>
      <c r="I76" s="403"/>
      <c r="J76" s="223">
        <v>225</v>
      </c>
      <c r="K76" s="223">
        <v>0.69</v>
      </c>
      <c r="L76" s="229">
        <f>J76*K76</f>
        <v>155.25</v>
      </c>
      <c r="M76" s="168">
        <v>0</v>
      </c>
      <c r="N76" s="207">
        <v>0.15</v>
      </c>
      <c r="O76" s="223">
        <v>0.33</v>
      </c>
      <c r="P76" s="191">
        <f>J76*O76*percent_p_in_p2o5</f>
        <v>32.402700000000003</v>
      </c>
      <c r="Q76" s="172">
        <v>0</v>
      </c>
      <c r="R76" s="173">
        <v>0</v>
      </c>
      <c r="S76" s="173">
        <v>0</v>
      </c>
      <c r="T76" s="173">
        <v>0.02</v>
      </c>
      <c r="U76" s="173">
        <v>0.15</v>
      </c>
      <c r="V76" s="173">
        <v>0.26</v>
      </c>
      <c r="W76" s="173">
        <v>0.34</v>
      </c>
      <c r="X76" s="173">
        <v>0.21</v>
      </c>
      <c r="Y76" s="173">
        <v>0.02</v>
      </c>
      <c r="Z76" s="173">
        <v>0</v>
      </c>
      <c r="AA76" s="173">
        <v>0</v>
      </c>
      <c r="AB76" s="174">
        <v>0</v>
      </c>
      <c r="AC76"/>
      <c r="AD76"/>
      <c r="AE76"/>
      <c r="AF76"/>
      <c r="AG76"/>
      <c r="AH76"/>
      <c r="AI76"/>
      <c r="AJ76"/>
      <c r="AK76"/>
      <c r="AL76"/>
      <c r="AM76"/>
      <c r="AN76"/>
      <c r="AO76"/>
      <c r="AP76"/>
      <c r="AQ76"/>
      <c r="AR76"/>
      <c r="AS76"/>
      <c r="AT76"/>
      <c r="AU76"/>
      <c r="AV76"/>
      <c r="AW76"/>
      <c r="AX76"/>
      <c r="AY76"/>
      <c r="AZ76"/>
      <c r="BA76"/>
      <c r="BB76"/>
    </row>
    <row r="77" spans="1:54" hidden="1">
      <c r="A77" t="s">
        <v>2</v>
      </c>
      <c r="B77" t="s">
        <v>2</v>
      </c>
      <c r="C77">
        <v>31</v>
      </c>
      <c r="D77"/>
      <c r="E77" s="258" t="s">
        <v>206</v>
      </c>
      <c r="F77" s="259"/>
      <c r="G77" s="229">
        <v>2</v>
      </c>
      <c r="H77" s="389" t="s">
        <v>206</v>
      </c>
      <c r="I77" s="389"/>
      <c r="J77" s="223">
        <v>85</v>
      </c>
      <c r="K77" s="223">
        <v>1.05</v>
      </c>
      <c r="L77" s="229">
        <f>J77*K77</f>
        <v>89.25</v>
      </c>
      <c r="M77" s="168">
        <v>0</v>
      </c>
      <c r="N77" s="207">
        <v>0.15</v>
      </c>
      <c r="O77" s="223">
        <v>0.42</v>
      </c>
      <c r="P77" s="191">
        <f>J77*O77*percent_p_in_p2o5</f>
        <v>15.579479999999998</v>
      </c>
      <c r="Q77" s="169">
        <v>5.0000000000000001E-3</v>
      </c>
      <c r="R77" s="170">
        <v>0.03</v>
      </c>
      <c r="S77" s="170">
        <v>0.16</v>
      </c>
      <c r="T77" s="170">
        <v>0.34</v>
      </c>
      <c r="U77" s="170">
        <v>0.35</v>
      </c>
      <c r="V77" s="170">
        <v>0.05</v>
      </c>
      <c r="W77" s="170">
        <v>0</v>
      </c>
      <c r="X77" s="170">
        <v>0</v>
      </c>
      <c r="Y77" s="170">
        <v>0</v>
      </c>
      <c r="Z77" s="170">
        <v>0.02</v>
      </c>
      <c r="AA77" s="170">
        <v>3.5000000000000003E-2</v>
      </c>
      <c r="AB77" s="171">
        <v>0.01</v>
      </c>
      <c r="AC77"/>
      <c r="AD77"/>
      <c r="AE77"/>
      <c r="AF77"/>
      <c r="AG77"/>
      <c r="AH77"/>
      <c r="AI77"/>
      <c r="AJ77"/>
      <c r="AK77"/>
      <c r="AL77"/>
      <c r="AM77"/>
      <c r="AN77"/>
      <c r="AO77"/>
      <c r="AP77"/>
      <c r="AQ77"/>
      <c r="AR77"/>
      <c r="AS77"/>
      <c r="AT77"/>
      <c r="AU77"/>
      <c r="AV77"/>
      <c r="AW77"/>
      <c r="AX77"/>
      <c r="AY77"/>
      <c r="AZ77"/>
      <c r="BA77"/>
      <c r="BB77"/>
    </row>
    <row r="78" spans="1:54" hidden="1">
      <c r="A78" t="s">
        <v>175</v>
      </c>
      <c r="B78" t="s">
        <v>11</v>
      </c>
      <c r="C78">
        <v>30</v>
      </c>
      <c r="D78"/>
      <c r="E78" s="258" t="s">
        <v>207</v>
      </c>
      <c r="F78" s="256"/>
      <c r="G78" s="223">
        <v>3</v>
      </c>
      <c r="H78" s="389" t="s">
        <v>207</v>
      </c>
      <c r="I78" s="389"/>
      <c r="J78" s="223">
        <v>85</v>
      </c>
      <c r="K78" s="223">
        <v>0.76</v>
      </c>
      <c r="L78" s="229">
        <f>J78*K78</f>
        <v>64.599999999999994</v>
      </c>
      <c r="M78" s="168">
        <v>0</v>
      </c>
      <c r="N78" s="207">
        <v>0.15</v>
      </c>
      <c r="O78" s="223">
        <v>0.35</v>
      </c>
      <c r="P78" s="191">
        <f>J78*O78*percent_p_in_p2o5</f>
        <v>12.982899999999999</v>
      </c>
      <c r="Q78" s="169">
        <v>5.0000000000000001E-3</v>
      </c>
      <c r="R78" s="170">
        <v>0.03</v>
      </c>
      <c r="S78" s="170">
        <v>0.16</v>
      </c>
      <c r="T78" s="170">
        <v>0.34</v>
      </c>
      <c r="U78" s="170">
        <v>0.35</v>
      </c>
      <c r="V78" s="170">
        <v>0.05</v>
      </c>
      <c r="W78" s="170">
        <v>0</v>
      </c>
      <c r="X78" s="170">
        <v>0</v>
      </c>
      <c r="Y78" s="170">
        <v>0</v>
      </c>
      <c r="Z78" s="170">
        <v>0.02</v>
      </c>
      <c r="AA78" s="170">
        <v>3.5000000000000003E-2</v>
      </c>
      <c r="AB78" s="171">
        <v>0.01</v>
      </c>
      <c r="AC78"/>
      <c r="AD78"/>
      <c r="AE78"/>
      <c r="AF78"/>
      <c r="AG78"/>
      <c r="AH78"/>
      <c r="AI78"/>
      <c r="AJ78"/>
      <c r="AK78"/>
      <c r="AL78"/>
      <c r="AM78"/>
      <c r="AN78"/>
      <c r="AO78"/>
      <c r="AP78"/>
      <c r="AQ78"/>
      <c r="AR78"/>
      <c r="AS78"/>
      <c r="AT78"/>
      <c r="AU78"/>
      <c r="AV78"/>
      <c r="AW78"/>
      <c r="AX78"/>
      <c r="AY78"/>
      <c r="AZ78"/>
      <c r="BA78"/>
      <c r="BB78"/>
    </row>
    <row r="79" spans="1:54" hidden="1">
      <c r="A79" t="s">
        <v>176</v>
      </c>
      <c r="B79" t="s">
        <v>12</v>
      </c>
      <c r="C79">
        <v>31</v>
      </c>
      <c r="D79"/>
      <c r="E79" s="258" t="s">
        <v>208</v>
      </c>
      <c r="F79" s="259"/>
      <c r="G79" s="229">
        <v>4</v>
      </c>
      <c r="H79" s="389" t="s">
        <v>208</v>
      </c>
      <c r="I79" s="389"/>
      <c r="J79" s="223">
        <v>55</v>
      </c>
      <c r="K79" s="223">
        <v>3.44</v>
      </c>
      <c r="L79" s="229">
        <f>J79*K79</f>
        <v>189.2</v>
      </c>
      <c r="M79" s="168">
        <v>0.4</v>
      </c>
      <c r="N79" s="207">
        <v>0.15</v>
      </c>
      <c r="O79" s="223">
        <v>0.72</v>
      </c>
      <c r="P79" s="191">
        <f>J79*O79*percent_p_in_p2o5</f>
        <v>17.28144</v>
      </c>
      <c r="Q79" s="172">
        <v>0</v>
      </c>
      <c r="R79" s="173">
        <v>0</v>
      </c>
      <c r="S79" s="173">
        <v>0</v>
      </c>
      <c r="T79" s="173">
        <v>0</v>
      </c>
      <c r="U79" s="173">
        <v>0</v>
      </c>
      <c r="V79" s="173">
        <v>0</v>
      </c>
      <c r="W79" s="173">
        <v>0.2</v>
      </c>
      <c r="X79" s="173">
        <v>0.4</v>
      </c>
      <c r="Y79" s="173">
        <v>0.3</v>
      </c>
      <c r="Z79" s="173">
        <v>0.1</v>
      </c>
      <c r="AA79" s="173">
        <v>0</v>
      </c>
      <c r="AB79" s="174">
        <v>0</v>
      </c>
      <c r="AC79"/>
      <c r="AD79"/>
      <c r="AE79"/>
      <c r="AF79"/>
      <c r="AG79"/>
      <c r="AH79"/>
      <c r="AI79"/>
      <c r="AJ79"/>
      <c r="AK79"/>
      <c r="AL79"/>
      <c r="AM79"/>
      <c r="AN79"/>
      <c r="AO79"/>
      <c r="AP79"/>
      <c r="AQ79"/>
      <c r="AR79"/>
      <c r="AS79"/>
      <c r="AT79"/>
      <c r="AU79"/>
      <c r="AV79"/>
      <c r="AW79"/>
      <c r="AX79"/>
      <c r="AY79"/>
      <c r="AZ79"/>
      <c r="BA79"/>
      <c r="BB79"/>
    </row>
    <row r="80" spans="1:54" hidden="1">
      <c r="A80" t="s">
        <v>177</v>
      </c>
      <c r="B80" t="s">
        <v>13</v>
      </c>
      <c r="C80">
        <v>31</v>
      </c>
      <c r="D80"/>
      <c r="E80" s="258" t="s">
        <v>209</v>
      </c>
      <c r="F80" s="259"/>
      <c r="G80" s="229">
        <v>5</v>
      </c>
      <c r="H80" s="389" t="s">
        <v>209</v>
      </c>
      <c r="I80" s="389"/>
      <c r="J80" s="223" t="s">
        <v>254</v>
      </c>
      <c r="K80" s="223" t="s">
        <v>254</v>
      </c>
      <c r="L80" s="229">
        <v>25</v>
      </c>
      <c r="M80" s="168">
        <v>0</v>
      </c>
      <c r="N80" s="207">
        <v>0.15</v>
      </c>
      <c r="O80" s="223" t="s">
        <v>254</v>
      </c>
      <c r="P80" s="158">
        <v>0</v>
      </c>
      <c r="Q80" s="172">
        <v>3.125E-2</v>
      </c>
      <c r="R80" s="173">
        <v>3.125E-2</v>
      </c>
      <c r="S80" s="173">
        <v>3.125E-2</v>
      </c>
      <c r="T80" s="173">
        <v>3.125E-2</v>
      </c>
      <c r="U80" s="173">
        <v>3.125E-2</v>
      </c>
      <c r="V80" s="173">
        <v>0</v>
      </c>
      <c r="W80" s="173">
        <v>0</v>
      </c>
      <c r="X80" s="173">
        <v>0</v>
      </c>
      <c r="Y80" s="173">
        <v>0</v>
      </c>
      <c r="Z80" s="173">
        <v>3.125E-2</v>
      </c>
      <c r="AA80" s="173">
        <v>3.125E-2</v>
      </c>
      <c r="AB80" s="174">
        <v>3.125E-2</v>
      </c>
      <c r="AC80"/>
      <c r="AD80"/>
      <c r="AE80"/>
      <c r="AF80"/>
      <c r="AG80"/>
      <c r="AH80"/>
      <c r="AI80"/>
      <c r="AJ80"/>
      <c r="AK80"/>
      <c r="AL80"/>
      <c r="AM80"/>
      <c r="AN80"/>
      <c r="AO80"/>
      <c r="AP80"/>
      <c r="AQ80"/>
      <c r="AR80"/>
      <c r="AS80"/>
      <c r="AT80"/>
      <c r="AU80"/>
      <c r="AV80"/>
      <c r="AW80"/>
      <c r="AX80"/>
      <c r="AY80"/>
      <c r="AZ80"/>
      <c r="BA80"/>
      <c r="BB80"/>
    </row>
    <row r="81" spans="1:54" hidden="1">
      <c r="A81" t="s">
        <v>178</v>
      </c>
      <c r="B81" t="s">
        <v>179</v>
      </c>
      <c r="C81">
        <v>30</v>
      </c>
      <c r="D81"/>
      <c r="E81" s="258" t="s">
        <v>271</v>
      </c>
      <c r="F81" s="259"/>
      <c r="G81" s="229">
        <v>6</v>
      </c>
      <c r="H81" s="389" t="s">
        <v>210</v>
      </c>
      <c r="I81" s="389"/>
      <c r="J81" s="223" t="s">
        <v>254</v>
      </c>
      <c r="K81" s="223" t="s">
        <v>254</v>
      </c>
      <c r="L81" s="229">
        <v>200</v>
      </c>
      <c r="M81" s="168">
        <v>0</v>
      </c>
      <c r="N81" s="207">
        <v>0.25</v>
      </c>
      <c r="O81" s="223" t="s">
        <v>254</v>
      </c>
      <c r="P81" s="158">
        <v>1.5</v>
      </c>
      <c r="Q81" s="172" t="e">
        <f t="shared" ref="Q81:AB82" si="24">INDEX(Pot_Evapotrans_in,MATCH(nearest_weather_station,Weather_Stations_List,0),MATCH(Q$75,Month_List,0))/INDEX(Pot_Evapotrans_Tot_in,MATCH(nearest_weather_station,Weather_Stations_List,0))</f>
        <v>#N/A</v>
      </c>
      <c r="R81" s="173" t="e">
        <f t="shared" si="24"/>
        <v>#N/A</v>
      </c>
      <c r="S81" s="173" t="e">
        <f t="shared" si="24"/>
        <v>#N/A</v>
      </c>
      <c r="T81" s="173" t="e">
        <f t="shared" si="24"/>
        <v>#N/A</v>
      </c>
      <c r="U81" s="173" t="e">
        <f t="shared" si="24"/>
        <v>#N/A</v>
      </c>
      <c r="V81" s="173" t="e">
        <f t="shared" si="24"/>
        <v>#N/A</v>
      </c>
      <c r="W81" s="173" t="e">
        <f t="shared" si="24"/>
        <v>#N/A</v>
      </c>
      <c r="X81" s="173" t="e">
        <f t="shared" si="24"/>
        <v>#N/A</v>
      </c>
      <c r="Y81" s="173" t="e">
        <f t="shared" si="24"/>
        <v>#N/A</v>
      </c>
      <c r="Z81" s="173" t="e">
        <f t="shared" si="24"/>
        <v>#N/A</v>
      </c>
      <c r="AA81" s="173" t="e">
        <f t="shared" si="24"/>
        <v>#N/A</v>
      </c>
      <c r="AB81" s="174" t="e">
        <f t="shared" si="24"/>
        <v>#N/A</v>
      </c>
      <c r="AC81" s="257"/>
      <c r="AD81" s="257"/>
      <c r="AE81" s="257"/>
      <c r="AF81" s="257"/>
      <c r="AG81" s="257"/>
      <c r="AH81" s="257"/>
      <c r="AI81" s="257"/>
      <c r="AJ81" s="257"/>
      <c r="AK81" s="257"/>
      <c r="AL81" s="257"/>
      <c r="AM81" s="257"/>
      <c r="AN81" s="257"/>
      <c r="AO81"/>
      <c r="AP81"/>
      <c r="AQ81"/>
      <c r="AR81"/>
      <c r="AS81"/>
      <c r="AT81"/>
      <c r="AU81"/>
      <c r="AV81"/>
      <c r="AW81"/>
      <c r="AX81"/>
      <c r="AY81"/>
      <c r="AZ81"/>
      <c r="BA81"/>
      <c r="BB81"/>
    </row>
    <row r="82" spans="1:54" hidden="1">
      <c r="A82" t="s">
        <v>180</v>
      </c>
      <c r="B82" t="s">
        <v>15</v>
      </c>
      <c r="C82">
        <v>31</v>
      </c>
      <c r="D82"/>
      <c r="E82" s="258" t="s">
        <v>270</v>
      </c>
      <c r="F82" s="259"/>
      <c r="G82" s="229">
        <v>6</v>
      </c>
      <c r="H82" s="389" t="s">
        <v>211</v>
      </c>
      <c r="I82" s="389"/>
      <c r="J82" s="223" t="s">
        <v>254</v>
      </c>
      <c r="K82" s="223" t="s">
        <v>254</v>
      </c>
      <c r="L82" s="229">
        <v>250</v>
      </c>
      <c r="M82" s="168">
        <v>0</v>
      </c>
      <c r="N82" s="207">
        <v>0.25</v>
      </c>
      <c r="O82" s="223" t="s">
        <v>254</v>
      </c>
      <c r="P82" s="158">
        <v>1.5</v>
      </c>
      <c r="Q82" s="172" t="e">
        <f t="shared" si="24"/>
        <v>#N/A</v>
      </c>
      <c r="R82" s="173" t="e">
        <f t="shared" si="24"/>
        <v>#N/A</v>
      </c>
      <c r="S82" s="173" t="e">
        <f t="shared" si="24"/>
        <v>#N/A</v>
      </c>
      <c r="T82" s="173" t="e">
        <f t="shared" si="24"/>
        <v>#N/A</v>
      </c>
      <c r="U82" s="173" t="e">
        <f t="shared" si="24"/>
        <v>#N/A</v>
      </c>
      <c r="V82" s="173" t="e">
        <f t="shared" si="24"/>
        <v>#N/A</v>
      </c>
      <c r="W82" s="173" t="e">
        <f t="shared" si="24"/>
        <v>#N/A</v>
      </c>
      <c r="X82" s="173" t="e">
        <f t="shared" si="24"/>
        <v>#N/A</v>
      </c>
      <c r="Y82" s="173" t="e">
        <f t="shared" si="24"/>
        <v>#N/A</v>
      </c>
      <c r="Z82" s="173" t="e">
        <f t="shared" si="24"/>
        <v>#N/A</v>
      </c>
      <c r="AA82" s="173" t="e">
        <f t="shared" si="24"/>
        <v>#N/A</v>
      </c>
      <c r="AB82" s="174" t="e">
        <f t="shared" si="24"/>
        <v>#N/A</v>
      </c>
      <c r="AC82"/>
      <c r="AD82"/>
      <c r="AE82"/>
      <c r="AF82"/>
      <c r="AG82"/>
      <c r="AH82"/>
      <c r="AI82"/>
      <c r="AJ82"/>
      <c r="AK82"/>
      <c r="AL82"/>
      <c r="AM82"/>
      <c r="AN82"/>
      <c r="AO82"/>
      <c r="AP82"/>
      <c r="AQ82"/>
      <c r="AR82"/>
      <c r="AS82"/>
      <c r="AT82"/>
      <c r="AU82"/>
      <c r="AV82"/>
      <c r="AW82"/>
      <c r="AX82"/>
      <c r="AY82"/>
      <c r="AZ82"/>
      <c r="BA82"/>
      <c r="BB82"/>
    </row>
    <row r="83" spans="1:54" hidden="1">
      <c r="A83" t="s">
        <v>181</v>
      </c>
      <c r="B83" t="s">
        <v>16</v>
      </c>
      <c r="C83">
        <v>30</v>
      </c>
      <c r="D83"/>
      <c r="E83" s="258" t="s">
        <v>269</v>
      </c>
      <c r="F83" s="259"/>
      <c r="G83" s="229">
        <v>6</v>
      </c>
      <c r="H83" s="389" t="s">
        <v>212</v>
      </c>
      <c r="I83" s="389"/>
      <c r="J83" s="223" t="s">
        <v>254</v>
      </c>
      <c r="K83" s="223" t="s">
        <v>254</v>
      </c>
      <c r="L83" s="229">
        <v>200</v>
      </c>
      <c r="M83" s="168">
        <v>0</v>
      </c>
      <c r="N83" s="207">
        <v>0.25</v>
      </c>
      <c r="O83" s="223" t="s">
        <v>254</v>
      </c>
      <c r="P83" s="158">
        <v>1.5</v>
      </c>
      <c r="Q83" s="172">
        <v>3.6496350364963501E-2</v>
      </c>
      <c r="R83" s="173">
        <v>2.0437956204379562E-2</v>
      </c>
      <c r="S83" s="173">
        <v>3.2116788321167884E-2</v>
      </c>
      <c r="T83" s="173">
        <v>5.5474452554744529E-2</v>
      </c>
      <c r="U83" s="173">
        <v>7.5912408759124084E-2</v>
      </c>
      <c r="V83" s="173">
        <v>0.12262773722627737</v>
      </c>
      <c r="W83" s="173">
        <v>0.14890510948905109</v>
      </c>
      <c r="X83" s="173">
        <v>0.14890510948905109</v>
      </c>
      <c r="Y83" s="173">
        <v>0.13138686131386862</v>
      </c>
      <c r="Z83" s="173">
        <v>0.10218978102189781</v>
      </c>
      <c r="AA83" s="173">
        <v>7.2992700729927001E-2</v>
      </c>
      <c r="AB83" s="174">
        <v>5.2554744525547446E-2</v>
      </c>
      <c r="AC83"/>
      <c r="AD83"/>
      <c r="AE83"/>
      <c r="AF83"/>
      <c r="AG83"/>
      <c r="AH83"/>
      <c r="AI83"/>
      <c r="AJ83"/>
      <c r="AK83"/>
      <c r="AL83"/>
      <c r="AM83"/>
      <c r="AN83"/>
      <c r="AO83"/>
      <c r="AP83"/>
      <c r="AQ83"/>
      <c r="AR83"/>
      <c r="AS83"/>
      <c r="AT83"/>
      <c r="AU83"/>
      <c r="AV83"/>
      <c r="AW83"/>
      <c r="AX83"/>
      <c r="AY83"/>
      <c r="AZ83"/>
      <c r="BA83"/>
      <c r="BB83"/>
    </row>
    <row r="84" spans="1:54" hidden="1">
      <c r="A84" t="s">
        <v>182</v>
      </c>
      <c r="B84" t="s">
        <v>17</v>
      </c>
      <c r="C84">
        <v>31</v>
      </c>
      <c r="D84"/>
      <c r="E84" s="258" t="s">
        <v>268</v>
      </c>
      <c r="F84" s="259"/>
      <c r="G84" s="229">
        <v>6</v>
      </c>
      <c r="H84" s="389" t="s">
        <v>213</v>
      </c>
      <c r="I84" s="389"/>
      <c r="J84" s="223" t="s">
        <v>254</v>
      </c>
      <c r="K84" s="223" t="s">
        <v>254</v>
      </c>
      <c r="L84" s="229">
        <v>250</v>
      </c>
      <c r="M84" s="168">
        <v>0</v>
      </c>
      <c r="N84" s="207">
        <v>0.25</v>
      </c>
      <c r="O84" s="223" t="s">
        <v>254</v>
      </c>
      <c r="P84" s="158">
        <v>1.5</v>
      </c>
      <c r="Q84" s="172">
        <v>3.6496350364963501E-2</v>
      </c>
      <c r="R84" s="173">
        <v>2.0437956204379562E-2</v>
      </c>
      <c r="S84" s="173">
        <v>3.2116788321167884E-2</v>
      </c>
      <c r="T84" s="173">
        <v>5.5474452554744529E-2</v>
      </c>
      <c r="U84" s="173">
        <v>7.5912408759124084E-2</v>
      </c>
      <c r="V84" s="173">
        <v>0.12262773722627737</v>
      </c>
      <c r="W84" s="173">
        <v>0.14890510948905109</v>
      </c>
      <c r="X84" s="173">
        <v>0.14890510948905109</v>
      </c>
      <c r="Y84" s="173">
        <v>0.13138686131386862</v>
      </c>
      <c r="Z84" s="173">
        <v>0.10218978102189781</v>
      </c>
      <c r="AA84" s="173">
        <v>7.2992700729927001E-2</v>
      </c>
      <c r="AB84" s="174">
        <v>5.2554744525547446E-2</v>
      </c>
      <c r="AC84"/>
      <c r="AD84"/>
      <c r="AE84"/>
      <c r="AF84"/>
      <c r="AG84"/>
      <c r="AH84"/>
      <c r="AI84"/>
      <c r="AJ84"/>
      <c r="AK84"/>
      <c r="AL84"/>
      <c r="AM84"/>
      <c r="AN84"/>
      <c r="AO84"/>
      <c r="AP84"/>
      <c r="AQ84"/>
      <c r="AR84"/>
      <c r="AS84"/>
      <c r="AT84"/>
      <c r="AU84"/>
      <c r="AV84"/>
      <c r="AW84"/>
      <c r="AX84"/>
      <c r="AY84"/>
      <c r="AZ84"/>
      <c r="BA84"/>
      <c r="BB84"/>
    </row>
    <row r="85" spans="1:54" hidden="1">
      <c r="A85"/>
      <c r="B85"/>
      <c r="C85"/>
      <c r="D85"/>
      <c r="E85" s="258" t="s">
        <v>326</v>
      </c>
      <c r="F85" s="259"/>
      <c r="G85" s="359"/>
      <c r="H85" s="358"/>
      <c r="I85" s="358"/>
      <c r="J85" s="358" t="s">
        <v>254</v>
      </c>
      <c r="K85" s="358" t="s">
        <v>254</v>
      </c>
      <c r="L85" s="359">
        <v>80</v>
      </c>
      <c r="M85" s="168">
        <v>0</v>
      </c>
      <c r="N85" s="207">
        <v>0.15</v>
      </c>
      <c r="O85" s="358" t="s">
        <v>254</v>
      </c>
      <c r="P85" s="158">
        <v>0</v>
      </c>
      <c r="Q85" s="172">
        <v>3.6363636363636364E-3</v>
      </c>
      <c r="R85" s="173">
        <v>7.2727272727272727E-3</v>
      </c>
      <c r="S85" s="173">
        <v>2.5454545454545452E-2</v>
      </c>
      <c r="T85" s="173">
        <v>6.545454545454546E-2</v>
      </c>
      <c r="U85" s="173">
        <v>0.11636363636363636</v>
      </c>
      <c r="V85" s="173">
        <v>0.16727272727272727</v>
      </c>
      <c r="W85" s="173">
        <v>0.19272727272727272</v>
      </c>
      <c r="X85" s="173">
        <v>0.17454545454545453</v>
      </c>
      <c r="Y85" s="173">
        <v>0.13090909090909092</v>
      </c>
      <c r="Z85" s="173">
        <v>7.2727272727272724E-2</v>
      </c>
      <c r="AA85" s="173">
        <v>3.272727272727273E-2</v>
      </c>
      <c r="AB85" s="174">
        <v>1.0909090909090908E-2</v>
      </c>
      <c r="AC85"/>
      <c r="AD85"/>
      <c r="AE85"/>
      <c r="AF85"/>
      <c r="AG85"/>
      <c r="AH85"/>
      <c r="AI85"/>
      <c r="AJ85"/>
      <c r="AK85"/>
      <c r="AL85"/>
      <c r="AM85"/>
      <c r="AN85"/>
      <c r="AO85"/>
      <c r="AP85"/>
      <c r="AQ85"/>
      <c r="AR85"/>
      <c r="AS85"/>
      <c r="AT85"/>
      <c r="AU85"/>
      <c r="AV85"/>
      <c r="AW85"/>
      <c r="AX85"/>
      <c r="AY85"/>
      <c r="AZ85"/>
      <c r="BA85"/>
      <c r="BB85"/>
    </row>
    <row r="86" spans="1:54" hidden="1">
      <c r="A86"/>
      <c r="B86"/>
      <c r="C86"/>
      <c r="D86"/>
      <c r="E86" s="258" t="s">
        <v>321</v>
      </c>
      <c r="F86" s="259"/>
      <c r="G86" s="263"/>
      <c r="H86" s="262" t="s">
        <v>322</v>
      </c>
      <c r="I86" s="262"/>
      <c r="J86" s="262" t="s">
        <v>254</v>
      </c>
      <c r="K86" s="262" t="s">
        <v>254</v>
      </c>
      <c r="L86" s="263">
        <v>300</v>
      </c>
      <c r="M86" s="168">
        <v>0</v>
      </c>
      <c r="N86" s="207">
        <v>0.15</v>
      </c>
      <c r="O86" s="262" t="s">
        <v>254</v>
      </c>
      <c r="P86" s="158">
        <v>50</v>
      </c>
      <c r="Q86" s="172" t="e">
        <f t="shared" ref="Q86:AB87" si="25">INDEX(Pot_Evapotrans_in,MATCH(nearest_weather_station,Weather_Stations_List,0),MATCH(Q$75,Month_List,0))/INDEX(Pot_Evapotrans_Tot_in,MATCH(nearest_weather_station,Weather_Stations_List,0))</f>
        <v>#N/A</v>
      </c>
      <c r="R86" s="173" t="e">
        <f t="shared" si="25"/>
        <v>#N/A</v>
      </c>
      <c r="S86" s="173" t="e">
        <f t="shared" si="25"/>
        <v>#N/A</v>
      </c>
      <c r="T86" s="173" t="e">
        <f t="shared" si="25"/>
        <v>#N/A</v>
      </c>
      <c r="U86" s="173" t="e">
        <f t="shared" si="25"/>
        <v>#N/A</v>
      </c>
      <c r="V86" s="173" t="e">
        <f t="shared" si="25"/>
        <v>#N/A</v>
      </c>
      <c r="W86" s="173" t="e">
        <f t="shared" si="25"/>
        <v>#N/A</v>
      </c>
      <c r="X86" s="173" t="e">
        <f t="shared" si="25"/>
        <v>#N/A</v>
      </c>
      <c r="Y86" s="173" t="e">
        <f t="shared" si="25"/>
        <v>#N/A</v>
      </c>
      <c r="Z86" s="173" t="e">
        <f t="shared" si="25"/>
        <v>#N/A</v>
      </c>
      <c r="AA86" s="173" t="e">
        <f t="shared" si="25"/>
        <v>#N/A</v>
      </c>
      <c r="AB86" s="174" t="e">
        <f t="shared" si="25"/>
        <v>#N/A</v>
      </c>
      <c r="AC86"/>
      <c r="AD86"/>
      <c r="AE86"/>
      <c r="AF86"/>
      <c r="AG86"/>
      <c r="AH86"/>
      <c r="AI86"/>
      <c r="AJ86"/>
      <c r="AK86"/>
      <c r="AL86"/>
      <c r="AM86"/>
      <c r="AN86"/>
      <c r="AO86"/>
      <c r="AP86"/>
      <c r="AQ86"/>
      <c r="AR86"/>
      <c r="AS86"/>
      <c r="AT86"/>
      <c r="AU86"/>
      <c r="AV86"/>
      <c r="AW86"/>
      <c r="AX86"/>
      <c r="AY86"/>
      <c r="AZ86"/>
      <c r="BA86"/>
      <c r="BB86"/>
    </row>
    <row r="87" spans="1:54" ht="13.5" hidden="1" thickBot="1">
      <c r="A87"/>
      <c r="B87"/>
      <c r="C87"/>
      <c r="D87"/>
      <c r="E87" s="260" t="s">
        <v>267</v>
      </c>
      <c r="F87" s="261"/>
      <c r="G87" s="226">
        <v>7</v>
      </c>
      <c r="H87" s="398" t="s">
        <v>214</v>
      </c>
      <c r="I87" s="398"/>
      <c r="J87" s="226" t="s">
        <v>254</v>
      </c>
      <c r="K87" s="226" t="s">
        <v>254</v>
      </c>
      <c r="L87" s="175">
        <v>300</v>
      </c>
      <c r="M87" s="176">
        <v>0</v>
      </c>
      <c r="N87" s="209">
        <v>0.15</v>
      </c>
      <c r="O87" s="226" t="s">
        <v>254</v>
      </c>
      <c r="P87" s="155">
        <v>50</v>
      </c>
      <c r="Q87" s="177" t="e">
        <f t="shared" si="25"/>
        <v>#N/A</v>
      </c>
      <c r="R87" s="178" t="e">
        <f t="shared" si="25"/>
        <v>#N/A</v>
      </c>
      <c r="S87" s="178" t="e">
        <f t="shared" si="25"/>
        <v>#N/A</v>
      </c>
      <c r="T87" s="178" t="e">
        <f t="shared" si="25"/>
        <v>#N/A</v>
      </c>
      <c r="U87" s="178" t="e">
        <f t="shared" si="25"/>
        <v>#N/A</v>
      </c>
      <c r="V87" s="178" t="e">
        <f t="shared" si="25"/>
        <v>#N/A</v>
      </c>
      <c r="W87" s="178" t="e">
        <f t="shared" si="25"/>
        <v>#N/A</v>
      </c>
      <c r="X87" s="178" t="e">
        <f t="shared" si="25"/>
        <v>#N/A</v>
      </c>
      <c r="Y87" s="178" t="e">
        <f t="shared" si="25"/>
        <v>#N/A</v>
      </c>
      <c r="Z87" s="178" t="e">
        <f t="shared" si="25"/>
        <v>#N/A</v>
      </c>
      <c r="AA87" s="178" t="e">
        <f t="shared" si="25"/>
        <v>#N/A</v>
      </c>
      <c r="AB87" s="179" t="e">
        <f t="shared" si="25"/>
        <v>#N/A</v>
      </c>
      <c r="AC87"/>
      <c r="AD87"/>
      <c r="AE87"/>
      <c r="AF87"/>
      <c r="AG87"/>
      <c r="AH87"/>
      <c r="AI87"/>
      <c r="AJ87"/>
      <c r="AK87"/>
      <c r="AL87"/>
      <c r="AM87"/>
      <c r="AN87"/>
      <c r="AO87"/>
      <c r="AP87"/>
      <c r="AQ87"/>
      <c r="AR87"/>
      <c r="AS87"/>
      <c r="AT87"/>
      <c r="AU87"/>
      <c r="AV87"/>
      <c r="AW87"/>
      <c r="AX87"/>
      <c r="AY87"/>
      <c r="AZ87"/>
      <c r="BA87"/>
      <c r="BB87"/>
    </row>
    <row r="88" spans="1:54" hidden="1">
      <c r="A88"/>
      <c r="B88"/>
      <c r="C88"/>
      <c r="D88"/>
      <c r="E88"/>
      <c r="F88"/>
      <c r="G88"/>
      <c r="H88"/>
      <c r="I88"/>
      <c r="J88"/>
      <c r="K88"/>
      <c r="L88"/>
      <c r="M88"/>
      <c r="N88"/>
      <c r="O88"/>
      <c r="P88"/>
      <c r="Q88"/>
      <c r="R88"/>
      <c r="S88"/>
      <c r="T88" s="180"/>
      <c r="U88"/>
      <c r="V88"/>
      <c r="W88"/>
      <c r="X88"/>
      <c r="Y88"/>
      <c r="Z88"/>
      <c r="AA88"/>
      <c r="AB88"/>
      <c r="AC88"/>
      <c r="AD88"/>
      <c r="AE88"/>
      <c r="AF88"/>
      <c r="AG88"/>
      <c r="AH88"/>
      <c r="AI88"/>
      <c r="AJ88"/>
      <c r="AK88"/>
      <c r="AL88"/>
      <c r="AM88"/>
      <c r="AN88"/>
      <c r="AO88"/>
      <c r="AP88"/>
      <c r="AQ88"/>
      <c r="AR88"/>
      <c r="AS88"/>
      <c r="AT88"/>
      <c r="AU88"/>
      <c r="AV88"/>
      <c r="AW88"/>
      <c r="AX88"/>
      <c r="AY88"/>
      <c r="AZ88"/>
      <c r="BA88"/>
      <c r="BB88"/>
    </row>
    <row r="89" spans="1:54" hidden="1">
      <c r="A89" s="395" t="s">
        <v>215</v>
      </c>
      <c r="B89" s="395"/>
      <c r="C89" s="395"/>
      <c r="D89"/>
      <c r="E89"/>
      <c r="F89"/>
      <c r="G89"/>
      <c r="H89"/>
      <c r="I89"/>
      <c r="J89"/>
      <c r="K89"/>
      <c r="L89"/>
      <c r="M89"/>
      <c r="N89"/>
      <c r="O89"/>
      <c r="P89"/>
      <c r="Q89"/>
      <c r="R89"/>
      <c r="S89"/>
      <c r="T89" s="180"/>
      <c r="U89"/>
      <c r="V89"/>
      <c r="W89"/>
      <c r="X89"/>
      <c r="Y89"/>
      <c r="Z89"/>
      <c r="AA89"/>
      <c r="AB89"/>
      <c r="AC89"/>
      <c r="AD89"/>
      <c r="AE89"/>
      <c r="AF89"/>
      <c r="AG89"/>
      <c r="AH89"/>
      <c r="AI89"/>
      <c r="AJ89"/>
      <c r="AK89"/>
      <c r="AL89"/>
      <c r="AM89"/>
      <c r="AN89"/>
      <c r="AO89"/>
      <c r="AP89"/>
      <c r="AQ89"/>
      <c r="AR89"/>
      <c r="AS89"/>
      <c r="AT89"/>
      <c r="AU89"/>
      <c r="AV89"/>
      <c r="AW89"/>
      <c r="AX89"/>
      <c r="AY89"/>
      <c r="AZ89"/>
      <c r="BA89"/>
      <c r="BB89"/>
    </row>
    <row r="90" spans="1:54" ht="15.75" hidden="1">
      <c r="A90" s="395"/>
      <c r="B90" s="395"/>
      <c r="C90" s="395"/>
      <c r="D90"/>
      <c r="E90" t="s">
        <v>262</v>
      </c>
      <c r="F90"/>
      <c r="G90"/>
      <c r="H90"/>
      <c r="I90"/>
      <c r="J90"/>
      <c r="K90"/>
      <c r="L90"/>
      <c r="M90"/>
      <c r="N90"/>
      <c r="O90"/>
      <c r="P90"/>
      <c r="Q90"/>
      <c r="R90"/>
      <c r="S90"/>
      <c r="T90" s="180"/>
      <c r="U90"/>
      <c r="V90"/>
      <c r="W90"/>
      <c r="X90"/>
      <c r="Y90"/>
      <c r="Z90"/>
      <c r="AA90"/>
      <c r="AB90"/>
      <c r="AC90"/>
      <c r="AD90"/>
      <c r="AE90"/>
      <c r="AF90"/>
      <c r="AG90"/>
      <c r="AH90"/>
      <c r="AI90"/>
      <c r="AJ90"/>
      <c r="AK90"/>
      <c r="AL90"/>
      <c r="AM90"/>
      <c r="AN90"/>
      <c r="AO90"/>
      <c r="AP90"/>
      <c r="AQ90"/>
      <c r="AR90"/>
      <c r="AS90"/>
      <c r="AT90"/>
      <c r="AU90"/>
      <c r="AV90"/>
      <c r="AW90"/>
      <c r="AX90"/>
      <c r="AY90"/>
      <c r="AZ90"/>
      <c r="BA90"/>
      <c r="BB90"/>
    </row>
    <row r="91" spans="1:54" ht="15.75" hidden="1">
      <c r="A91" s="389" t="s">
        <v>216</v>
      </c>
      <c r="B91" s="389"/>
      <c r="C91" s="389"/>
      <c r="D91"/>
      <c r="E91" t="s">
        <v>263</v>
      </c>
      <c r="F91" s="181"/>
      <c r="G91" s="181"/>
      <c r="H91" s="181"/>
      <c r="I91" s="181"/>
      <c r="J91" s="181"/>
      <c r="K91" s="181"/>
      <c r="L91" s="181"/>
      <c r="M91" s="181"/>
      <c r="N91" s="181"/>
      <c r="O91" s="181"/>
      <c r="P91" s="181"/>
      <c r="Q91" s="181"/>
      <c r="R91" s="181"/>
      <c r="S91" s="181"/>
      <c r="T91" s="181"/>
      <c r="U91" s="181"/>
      <c r="V91" s="181"/>
      <c r="W91" s="181"/>
      <c r="X91"/>
      <c r="Y91"/>
      <c r="Z91"/>
      <c r="AA91"/>
      <c r="AB91"/>
      <c r="AC91"/>
      <c r="AD91"/>
      <c r="AE91"/>
      <c r="AF91"/>
      <c r="AG91"/>
      <c r="AH91"/>
      <c r="AI91"/>
      <c r="AJ91"/>
      <c r="AK91"/>
      <c r="AL91"/>
      <c r="AM91"/>
      <c r="AN91"/>
      <c r="AO91"/>
      <c r="AP91"/>
      <c r="AQ91"/>
      <c r="AR91"/>
      <c r="AS91"/>
      <c r="AT91"/>
      <c r="AU91"/>
      <c r="AV91"/>
      <c r="AW91"/>
      <c r="AX91"/>
      <c r="AY91"/>
      <c r="AZ91"/>
      <c r="BA91"/>
      <c r="BB91"/>
    </row>
    <row r="92" spans="1:54" ht="18" hidden="1">
      <c r="A92" s="389" t="s">
        <v>217</v>
      </c>
      <c r="B92" s="389"/>
      <c r="C92" s="389"/>
      <c r="D92"/>
      <c r="E92" t="s">
        <v>264</v>
      </c>
      <c r="F92" s="182"/>
      <c r="G92" s="182"/>
      <c r="H92" s="182"/>
      <c r="I92" s="182"/>
      <c r="J92" s="182"/>
      <c r="K92" s="182"/>
      <c r="L92" s="182"/>
      <c r="M92" s="182"/>
      <c r="N92" s="182"/>
      <c r="O92" s="182"/>
      <c r="P92" s="182"/>
      <c r="Q92" s="182"/>
      <c r="R92" s="182"/>
      <c r="S92" s="182"/>
      <c r="T92" s="183"/>
      <c r="U92" s="182"/>
      <c r="V92" s="182"/>
      <c r="W92" s="181"/>
      <c r="X92"/>
      <c r="Y92"/>
      <c r="Z92"/>
      <c r="AA92"/>
      <c r="AB92"/>
      <c r="AC92"/>
      <c r="AD92"/>
      <c r="AE92"/>
      <c r="AF92"/>
      <c r="AG92"/>
      <c r="AH92"/>
      <c r="AI92"/>
      <c r="AJ92"/>
      <c r="AK92"/>
      <c r="AL92"/>
      <c r="AM92"/>
      <c r="AN92"/>
      <c r="AO92"/>
      <c r="AP92"/>
      <c r="AQ92"/>
      <c r="AR92"/>
      <c r="AS92"/>
      <c r="AT92"/>
      <c r="AU92"/>
      <c r="AV92"/>
      <c r="AW92"/>
      <c r="AX92"/>
      <c r="AY92"/>
      <c r="AZ92"/>
      <c r="BA92"/>
      <c r="BB92"/>
    </row>
    <row r="93" spans="1:54" hidden="1">
      <c r="A93" s="223"/>
      <c r="B93" s="223"/>
      <c r="C93" s="223"/>
      <c r="D93"/>
      <c r="E93" s="396" t="s">
        <v>265</v>
      </c>
      <c r="F93" s="396"/>
      <c r="G93" s="396"/>
      <c r="H93" s="396"/>
      <c r="I93" s="396"/>
      <c r="J93" s="396"/>
      <c r="K93" s="396"/>
      <c r="L93" s="396"/>
      <c r="M93" s="396"/>
      <c r="N93" s="396"/>
      <c r="O93" s="396"/>
      <c r="P93" s="396"/>
      <c r="Q93" s="396"/>
      <c r="R93" s="396"/>
      <c r="S93" s="396"/>
      <c r="T93" s="396"/>
      <c r="U93" s="396"/>
      <c r="V93" s="396"/>
      <c r="W93"/>
      <c r="X93"/>
      <c r="Y93"/>
      <c r="Z93"/>
      <c r="AA93"/>
      <c r="AB93"/>
      <c r="AC93"/>
      <c r="AD93"/>
      <c r="AE93"/>
      <c r="AF93"/>
      <c r="AG93"/>
      <c r="AH93"/>
      <c r="AI93"/>
      <c r="AJ93"/>
      <c r="AK93"/>
      <c r="AL93"/>
      <c r="AM93"/>
      <c r="AN93"/>
      <c r="AO93"/>
      <c r="AP93"/>
      <c r="AQ93"/>
      <c r="AR93"/>
      <c r="AS93"/>
      <c r="AT93"/>
      <c r="AU93"/>
      <c r="AV93"/>
      <c r="AW93"/>
      <c r="AX93"/>
      <c r="AY93"/>
      <c r="AZ93"/>
      <c r="BA93"/>
      <c r="BB93"/>
    </row>
    <row r="94" spans="1:54" hidden="1">
      <c r="A94" s="223" t="s">
        <v>218</v>
      </c>
      <c r="B94" s="223" t="s">
        <v>219</v>
      </c>
      <c r="C94" s="223" t="s">
        <v>220</v>
      </c>
      <c r="D94"/>
      <c r="E94" s="396"/>
      <c r="F94" s="396"/>
      <c r="G94" s="396"/>
      <c r="H94" s="396"/>
      <c r="I94" s="396"/>
      <c r="J94" s="396"/>
      <c r="K94" s="396"/>
      <c r="L94" s="396"/>
      <c r="M94" s="396"/>
      <c r="N94" s="396"/>
      <c r="O94" s="396"/>
      <c r="P94" s="396"/>
      <c r="Q94" s="396"/>
      <c r="R94" s="396"/>
      <c r="S94" s="396"/>
      <c r="T94" s="396"/>
      <c r="U94" s="396"/>
      <c r="V94" s="396"/>
      <c r="W94"/>
      <c r="X94"/>
      <c r="Y94"/>
      <c r="Z94"/>
      <c r="AA94"/>
      <c r="AB94"/>
      <c r="AC94"/>
      <c r="AD94"/>
      <c r="AE94"/>
      <c r="AF94"/>
      <c r="AG94"/>
      <c r="AH94"/>
      <c r="AI94"/>
      <c r="AJ94"/>
      <c r="AK94"/>
      <c r="AL94"/>
      <c r="AM94"/>
      <c r="AN94"/>
      <c r="AO94"/>
      <c r="AP94"/>
      <c r="AQ94"/>
      <c r="AR94"/>
      <c r="AS94"/>
      <c r="AT94"/>
      <c r="AU94"/>
      <c r="AV94"/>
      <c r="AW94"/>
      <c r="AX94"/>
      <c r="AY94"/>
      <c r="AZ94"/>
      <c r="BA94"/>
      <c r="BB94"/>
    </row>
    <row r="95" spans="1:54" hidden="1">
      <c r="A95" s="223" t="s">
        <v>171</v>
      </c>
      <c r="B95" s="223">
        <v>0.81</v>
      </c>
      <c r="C95" s="223">
        <f>B95*12</f>
        <v>9.7200000000000006</v>
      </c>
      <c r="D95"/>
      <c r="E95" s="396"/>
      <c r="F95" s="396"/>
      <c r="G95" s="396"/>
      <c r="H95" s="396"/>
      <c r="I95" s="396"/>
      <c r="J95" s="396"/>
      <c r="K95" s="396"/>
      <c r="L95" s="396"/>
      <c r="M95" s="396"/>
      <c r="N95" s="396"/>
      <c r="O95" s="396"/>
      <c r="P95" s="396"/>
      <c r="Q95" s="396"/>
      <c r="R95" s="396"/>
      <c r="S95" s="396"/>
      <c r="T95" s="396"/>
      <c r="U95" s="396"/>
      <c r="V95" s="396"/>
      <c r="W95"/>
      <c r="X95"/>
      <c r="Y95"/>
      <c r="Z95"/>
      <c r="AA95"/>
      <c r="AB95"/>
      <c r="AC95"/>
      <c r="AD95"/>
      <c r="AE95"/>
      <c r="AF95"/>
      <c r="AG95"/>
      <c r="AH95"/>
      <c r="AI95"/>
      <c r="AJ95"/>
      <c r="AK95"/>
      <c r="AL95"/>
      <c r="AM95"/>
      <c r="AN95"/>
      <c r="AO95"/>
      <c r="AP95"/>
      <c r="AQ95"/>
      <c r="AR95"/>
      <c r="AS95"/>
      <c r="AT95"/>
      <c r="AU95"/>
      <c r="AV95"/>
      <c r="AW95"/>
      <c r="AX95"/>
      <c r="AY95"/>
      <c r="AZ95"/>
      <c r="BA95"/>
      <c r="BB95"/>
    </row>
    <row r="96" spans="1:54" hidden="1">
      <c r="A96" s="223" t="s">
        <v>172</v>
      </c>
      <c r="B96" s="223">
        <v>0.8</v>
      </c>
      <c r="C96" s="223">
        <f t="shared" ref="C96:C106" si="26">B96*12</f>
        <v>9.6000000000000014</v>
      </c>
      <c r="D96"/>
      <c r="E96" s="396"/>
      <c r="F96" s="396"/>
      <c r="G96" s="396"/>
      <c r="H96" s="396"/>
      <c r="I96" s="396"/>
      <c r="J96" s="396"/>
      <c r="K96" s="396"/>
      <c r="L96" s="396"/>
      <c r="M96" s="396"/>
      <c r="N96" s="396"/>
      <c r="O96" s="396"/>
      <c r="P96" s="396"/>
      <c r="Q96" s="396"/>
      <c r="R96" s="396"/>
      <c r="S96" s="396"/>
      <c r="T96" s="396"/>
      <c r="U96" s="396"/>
      <c r="V96" s="396"/>
      <c r="W96"/>
      <c r="X96"/>
      <c r="Y96"/>
      <c r="Z96"/>
      <c r="AA96"/>
      <c r="AB96"/>
      <c r="AC96"/>
      <c r="AD96"/>
      <c r="AE96"/>
      <c r="AF96"/>
      <c r="AG96"/>
      <c r="AH96"/>
      <c r="AI96"/>
      <c r="AJ96"/>
      <c r="AK96"/>
      <c r="AL96"/>
      <c r="AM96"/>
      <c r="AN96"/>
      <c r="AO96"/>
      <c r="AP96"/>
      <c r="AQ96"/>
      <c r="AR96"/>
      <c r="AS96"/>
      <c r="AT96"/>
      <c r="AU96"/>
      <c r="AV96"/>
      <c r="AW96"/>
      <c r="AX96"/>
      <c r="AY96"/>
      <c r="AZ96"/>
      <c r="BA96"/>
      <c r="BB96"/>
    </row>
    <row r="97" spans="1:54" hidden="1">
      <c r="A97" s="223" t="s">
        <v>173</v>
      </c>
      <c r="B97" s="223">
        <v>0.99</v>
      </c>
      <c r="C97" s="223">
        <f t="shared" si="26"/>
        <v>11.879999999999999</v>
      </c>
      <c r="D97"/>
      <c r="E97" t="s">
        <v>325</v>
      </c>
      <c r="F97" s="225"/>
      <c r="G97" s="225"/>
      <c r="H97" s="225"/>
      <c r="I97" s="225"/>
      <c r="J97" s="225"/>
      <c r="K97" s="225"/>
      <c r="L97" s="225"/>
      <c r="M97" s="225"/>
      <c r="N97" s="225"/>
      <c r="O97" s="225"/>
      <c r="P97" s="225"/>
      <c r="Q97" s="225"/>
      <c r="R97" s="225"/>
      <c r="S97" s="225"/>
      <c r="T97" s="225"/>
      <c r="U97" s="225"/>
      <c r="V97" s="225"/>
      <c r="W97"/>
      <c r="X97"/>
      <c r="Y97"/>
      <c r="Z97"/>
      <c r="AA97"/>
      <c r="AB97"/>
      <c r="AC97"/>
      <c r="AD97"/>
      <c r="AE97"/>
      <c r="AF97"/>
      <c r="AG97"/>
      <c r="AH97"/>
      <c r="AI97"/>
      <c r="AJ97"/>
      <c r="AK97"/>
      <c r="AL97"/>
      <c r="AM97"/>
      <c r="AN97"/>
      <c r="AO97"/>
      <c r="AP97"/>
      <c r="AQ97"/>
      <c r="AR97"/>
      <c r="AS97"/>
      <c r="AT97"/>
      <c r="AU97"/>
      <c r="AV97"/>
      <c r="AW97"/>
      <c r="AX97"/>
      <c r="AY97"/>
      <c r="AZ97"/>
      <c r="BA97"/>
      <c r="BB97"/>
    </row>
    <row r="98" spans="1:54" hidden="1">
      <c r="A98" s="223" t="s">
        <v>174</v>
      </c>
      <c r="B98" s="223">
        <v>1.1000000000000001</v>
      </c>
      <c r="C98" s="223">
        <f t="shared" si="26"/>
        <v>13.200000000000001</v>
      </c>
      <c r="D98"/>
      <c r="E98" s="397" t="s">
        <v>317</v>
      </c>
      <c r="F98" s="397"/>
      <c r="G98" s="397"/>
      <c r="H98" s="397"/>
      <c r="I98" s="397"/>
      <c r="J98" s="397"/>
      <c r="K98" s="397"/>
      <c r="L98" s="397"/>
      <c r="M98" s="397"/>
      <c r="N98" s="397"/>
      <c r="O98" s="397"/>
      <c r="P98" s="397"/>
      <c r="Q98" s="397"/>
      <c r="R98" s="397"/>
      <c r="S98" s="397"/>
      <c r="T98" s="397"/>
      <c r="U98" s="397"/>
      <c r="V98" s="397"/>
      <c r="W98"/>
      <c r="X98"/>
      <c r="Y98"/>
      <c r="Z98"/>
      <c r="AA98"/>
      <c r="AB98"/>
      <c r="AC98"/>
      <c r="AD98"/>
      <c r="AE98"/>
      <c r="AF98"/>
      <c r="AG98"/>
      <c r="AH98"/>
      <c r="AI98"/>
      <c r="AJ98"/>
      <c r="AK98"/>
      <c r="AL98"/>
      <c r="AM98"/>
      <c r="AN98"/>
      <c r="AO98"/>
      <c r="AP98"/>
      <c r="AQ98"/>
      <c r="AR98"/>
      <c r="AS98"/>
      <c r="AT98"/>
      <c r="AU98"/>
      <c r="AV98"/>
      <c r="AW98"/>
      <c r="AX98"/>
      <c r="AY98"/>
      <c r="AZ98"/>
      <c r="BA98"/>
      <c r="BB98"/>
    </row>
    <row r="99" spans="1:54" hidden="1">
      <c r="A99" s="223" t="s">
        <v>2</v>
      </c>
      <c r="B99" s="223">
        <v>1.19</v>
      </c>
      <c r="C99" s="223">
        <f t="shared" si="26"/>
        <v>14.28</v>
      </c>
      <c r="D99"/>
      <c r="E99" s="397"/>
      <c r="F99" s="397"/>
      <c r="G99" s="397"/>
      <c r="H99" s="397"/>
      <c r="I99" s="397"/>
      <c r="J99" s="397"/>
      <c r="K99" s="397"/>
      <c r="L99" s="397"/>
      <c r="M99" s="397"/>
      <c r="N99" s="397"/>
      <c r="O99" s="397"/>
      <c r="P99" s="397"/>
      <c r="Q99" s="397"/>
      <c r="R99" s="397"/>
      <c r="S99" s="397"/>
      <c r="T99" s="397"/>
      <c r="U99" s="397"/>
      <c r="V99" s="397"/>
      <c r="W99"/>
      <c r="X99"/>
      <c r="Y99"/>
      <c r="Z99"/>
      <c r="AA99"/>
      <c r="AB99"/>
      <c r="AC99"/>
      <c r="AD99"/>
      <c r="AE99"/>
      <c r="AF99"/>
      <c r="AG99"/>
      <c r="AH99"/>
      <c r="AI99"/>
      <c r="AJ99"/>
      <c r="AK99"/>
      <c r="AL99"/>
      <c r="AM99"/>
      <c r="AN99"/>
      <c r="AO99"/>
      <c r="AP99"/>
      <c r="AQ99"/>
      <c r="AR99"/>
      <c r="AS99"/>
      <c r="AT99"/>
      <c r="AU99"/>
      <c r="AV99"/>
      <c r="AW99"/>
      <c r="AX99"/>
      <c r="AY99"/>
      <c r="AZ99"/>
      <c r="BA99"/>
      <c r="BB99"/>
    </row>
    <row r="100" spans="1:54" hidden="1">
      <c r="A100" s="223" t="s">
        <v>175</v>
      </c>
      <c r="B100" s="223">
        <v>1.24</v>
      </c>
      <c r="C100" s="223">
        <f t="shared" si="26"/>
        <v>14.879999999999999</v>
      </c>
      <c r="D100"/>
      <c r="E100" s="397"/>
      <c r="F100" s="397"/>
      <c r="G100" s="397"/>
      <c r="H100" s="397"/>
      <c r="I100" s="397"/>
      <c r="J100" s="397"/>
      <c r="K100" s="397"/>
      <c r="L100" s="397"/>
      <c r="M100" s="397"/>
      <c r="N100" s="397"/>
      <c r="O100" s="397"/>
      <c r="P100" s="397"/>
      <c r="Q100" s="397"/>
      <c r="R100" s="397"/>
      <c r="S100" s="397"/>
      <c r="T100" s="397"/>
      <c r="U100" s="397"/>
      <c r="V100" s="397"/>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row>
    <row r="101" spans="1:54" hidden="1">
      <c r="A101" s="223" t="s">
        <v>176</v>
      </c>
      <c r="B101" s="223">
        <v>1.22</v>
      </c>
      <c r="C101" s="223">
        <f t="shared" si="26"/>
        <v>14.64</v>
      </c>
      <c r="D101"/>
      <c r="E101" s="397"/>
      <c r="F101" s="397"/>
      <c r="G101" s="397"/>
      <c r="H101" s="397"/>
      <c r="I101" s="397"/>
      <c r="J101" s="397"/>
      <c r="K101" s="397"/>
      <c r="L101" s="397"/>
      <c r="M101" s="397"/>
      <c r="N101" s="397"/>
      <c r="O101" s="397"/>
      <c r="P101" s="397"/>
      <c r="Q101" s="397"/>
      <c r="R101" s="397"/>
      <c r="S101" s="397"/>
      <c r="T101" s="397"/>
      <c r="U101" s="397"/>
      <c r="V101" s="397"/>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row>
    <row r="102" spans="1:54" hidden="1">
      <c r="A102" s="223" t="s">
        <v>177</v>
      </c>
      <c r="B102" s="223">
        <v>1.1499999999999999</v>
      </c>
      <c r="C102" s="223">
        <f t="shared" si="26"/>
        <v>13.799999999999999</v>
      </c>
      <c r="D102"/>
      <c r="E102" s="391" t="s">
        <v>318</v>
      </c>
      <c r="F102" s="391"/>
      <c r="G102" s="391"/>
      <c r="H102" s="391"/>
      <c r="I102" s="391"/>
      <c r="J102" s="391"/>
      <c r="K102" s="391"/>
      <c r="L102" s="391"/>
      <c r="M102" s="391"/>
      <c r="N102" s="391"/>
      <c r="O102" s="391"/>
      <c r="P102" s="391"/>
      <c r="Q102" s="391"/>
      <c r="R102" s="391"/>
      <c r="S102" s="391"/>
      <c r="T102" s="391"/>
      <c r="U102" s="391"/>
      <c r="V102" s="391"/>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row>
    <row r="103" spans="1:54" hidden="1">
      <c r="A103" s="223" t="s">
        <v>178</v>
      </c>
      <c r="B103" s="223">
        <v>1.04</v>
      </c>
      <c r="C103" s="223">
        <f t="shared" si="26"/>
        <v>12.48</v>
      </c>
      <c r="D103"/>
      <c r="E103" s="391"/>
      <c r="F103" s="391"/>
      <c r="G103" s="391"/>
      <c r="H103" s="391"/>
      <c r="I103" s="391"/>
      <c r="J103" s="391"/>
      <c r="K103" s="391"/>
      <c r="L103" s="391"/>
      <c r="M103" s="391"/>
      <c r="N103" s="391"/>
      <c r="O103" s="391"/>
      <c r="P103" s="391"/>
      <c r="Q103" s="391"/>
      <c r="R103" s="391"/>
      <c r="S103" s="391"/>
      <c r="T103" s="391"/>
      <c r="U103" s="391"/>
      <c r="V103" s="391"/>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row>
    <row r="104" spans="1:54" hidden="1">
      <c r="A104" s="223" t="s">
        <v>180</v>
      </c>
      <c r="B104" s="223">
        <v>0.93</v>
      </c>
      <c r="C104" s="223">
        <f t="shared" si="26"/>
        <v>11.16</v>
      </c>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row>
    <row r="105" spans="1:54" hidden="1">
      <c r="A105" s="223" t="s">
        <v>181</v>
      </c>
      <c r="B105" s="223">
        <v>0.84</v>
      </c>
      <c r="C105" s="223">
        <f t="shared" si="26"/>
        <v>10.08</v>
      </c>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row>
    <row r="106" spans="1:54" ht="13.5" hidden="1" thickBot="1">
      <c r="A106" s="223" t="s">
        <v>182</v>
      </c>
      <c r="B106" s="223">
        <v>0.79</v>
      </c>
      <c r="C106" s="223">
        <f t="shared" si="26"/>
        <v>9.48</v>
      </c>
      <c r="D106"/>
      <c r="E106" s="152" t="s">
        <v>274</v>
      </c>
      <c r="F106"/>
      <c r="G106"/>
      <c r="H106"/>
      <c r="I106" s="223">
        <v>5</v>
      </c>
      <c r="J106" t="s">
        <v>275</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row>
    <row r="107" spans="1:54" ht="13.5" hidden="1" thickBot="1">
      <c r="A107"/>
      <c r="B107"/>
      <c r="C107"/>
      <c r="D107"/>
      <c r="E107"/>
      <c r="F107" s="196" t="s">
        <v>171</v>
      </c>
      <c r="G107" s="197" t="s">
        <v>172</v>
      </c>
      <c r="H107" s="197" t="s">
        <v>173</v>
      </c>
      <c r="I107" s="197" t="s">
        <v>174</v>
      </c>
      <c r="J107" s="197" t="s">
        <v>2</v>
      </c>
      <c r="K107" s="197" t="s">
        <v>175</v>
      </c>
      <c r="L107" s="197" t="s">
        <v>176</v>
      </c>
      <c r="M107" s="197" t="s">
        <v>177</v>
      </c>
      <c r="N107" s="197" t="s">
        <v>178</v>
      </c>
      <c r="O107" s="197" t="s">
        <v>180</v>
      </c>
      <c r="P107" s="197" t="s">
        <v>181</v>
      </c>
      <c r="Q107" s="198" t="s">
        <v>182</v>
      </c>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row>
    <row r="108" spans="1:54" ht="13.5" hidden="1" thickBot="1">
      <c r="A108" t="s">
        <v>221</v>
      </c>
      <c r="B108"/>
      <c r="C108"/>
      <c r="D108"/>
      <c r="E108" s="199" t="s">
        <v>276</v>
      </c>
      <c r="F108" s="200">
        <f t="shared" ref="F108:Q108" si="27">annual_nitrogen_precipitation_lb_per_acre_year*(INDEX(Days_In_Month,MATCH(F107,Month_List,0))/365)</f>
        <v>0.42465753424657532</v>
      </c>
      <c r="G108" s="200">
        <f t="shared" si="27"/>
        <v>0.38356164383561647</v>
      </c>
      <c r="H108" s="200">
        <f t="shared" si="27"/>
        <v>0.42465753424657532</v>
      </c>
      <c r="I108" s="200">
        <f t="shared" si="27"/>
        <v>0.41095890410958902</v>
      </c>
      <c r="J108" s="200">
        <f t="shared" si="27"/>
        <v>0.42465753424657532</v>
      </c>
      <c r="K108" s="200">
        <f t="shared" si="27"/>
        <v>0.41095890410958902</v>
      </c>
      <c r="L108" s="200">
        <f t="shared" si="27"/>
        <v>0.42465753424657532</v>
      </c>
      <c r="M108" s="200">
        <f t="shared" si="27"/>
        <v>0.42465753424657532</v>
      </c>
      <c r="N108" s="200">
        <f t="shared" si="27"/>
        <v>0.41095890410958902</v>
      </c>
      <c r="O108" s="200">
        <f t="shared" si="27"/>
        <v>0.42465753424657532</v>
      </c>
      <c r="P108" s="200">
        <f t="shared" si="27"/>
        <v>0.41095890410958902</v>
      </c>
      <c r="Q108" s="201">
        <f t="shared" si="27"/>
        <v>0.42465753424657532</v>
      </c>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row>
    <row r="109" spans="1:54" ht="15" hidden="1">
      <c r="A109" t="s">
        <v>222</v>
      </c>
      <c r="B109"/>
      <c r="C109"/>
      <c r="D109"/>
      <c r="E109" s="392" t="s">
        <v>223</v>
      </c>
      <c r="F109" s="392"/>
      <c r="G109" s="392"/>
      <c r="H109" s="392"/>
      <c r="I109" s="392"/>
      <c r="J109" s="392"/>
      <c r="K109" s="392"/>
      <c r="L109" s="392"/>
      <c r="M109" s="392"/>
      <c r="N109" s="392"/>
      <c r="O109" s="392"/>
      <c r="P109" s="392"/>
      <c r="Q109" s="392"/>
      <c r="R109" s="392"/>
      <c r="S109" s="392"/>
      <c r="T109" s="392"/>
      <c r="U109" s="392"/>
      <c r="V109" s="392"/>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row>
    <row r="110" spans="1:54" hidden="1">
      <c r="A110"/>
      <c r="B110"/>
      <c r="C110"/>
      <c r="D110"/>
      <c r="E110" s="389" t="s">
        <v>224</v>
      </c>
      <c r="F110" s="389"/>
      <c r="G110" s="389"/>
      <c r="H110" s="389"/>
      <c r="I110" s="389"/>
      <c r="J110" s="389"/>
      <c r="K110" s="389"/>
      <c r="L110" s="389"/>
      <c r="M110" s="389"/>
      <c r="N110" s="389"/>
      <c r="O110" s="389"/>
      <c r="P110" s="389"/>
      <c r="Q110" s="389"/>
      <c r="R110" s="389"/>
      <c r="S110" s="389"/>
      <c r="T110" s="389"/>
      <c r="U110" s="389"/>
      <c r="V110" s="389"/>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row>
    <row r="111" spans="1:54" hidden="1">
      <c r="A111"/>
      <c r="B111"/>
      <c r="C111"/>
      <c r="D111"/>
      <c r="E111" s="393" t="s">
        <v>225</v>
      </c>
      <c r="F111" s="393"/>
      <c r="G111" s="393"/>
      <c r="H111" s="393"/>
      <c r="I111" s="393"/>
      <c r="J111" s="393"/>
      <c r="K111" s="393"/>
      <c r="L111" s="393"/>
      <c r="M111" s="393"/>
      <c r="N111" s="393"/>
      <c r="O111" s="393"/>
      <c r="P111" s="393"/>
      <c r="Q111" s="393"/>
      <c r="R111" s="393"/>
      <c r="S111" s="393"/>
      <c r="T111" s="393"/>
      <c r="U111" s="393"/>
      <c r="V111" s="393"/>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row>
    <row r="112" spans="1:54" hidden="1">
      <c r="C112"/>
      <c r="D112"/>
      <c r="E112"/>
      <c r="F112"/>
      <c r="G112"/>
      <c r="H112"/>
      <c r="I112"/>
      <c r="J112" s="394" t="s">
        <v>226</v>
      </c>
      <c r="K112" s="394"/>
      <c r="L112" s="394"/>
      <c r="M112" s="394"/>
      <c r="N112" s="394"/>
      <c r="O112" s="394"/>
      <c r="P112" s="394"/>
      <c r="Q112" s="394"/>
      <c r="R112" s="394"/>
      <c r="S112"/>
      <c r="T112" s="394" t="s">
        <v>227</v>
      </c>
      <c r="U112" s="394"/>
      <c r="V112" s="394"/>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row>
    <row r="113" spans="1:54" ht="38.25" hidden="1">
      <c r="A113" s="206" t="s">
        <v>296</v>
      </c>
      <c r="B113" s="206" t="s">
        <v>297</v>
      </c>
      <c r="C113"/>
      <c r="D113"/>
      <c r="E113" s="390" t="s">
        <v>228</v>
      </c>
      <c r="F113" s="390"/>
      <c r="G113" s="224" t="s">
        <v>229</v>
      </c>
      <c r="H113" s="224" t="s">
        <v>230</v>
      </c>
      <c r="I113" s="224" t="s">
        <v>231</v>
      </c>
      <c r="J113" s="224" t="s">
        <v>232</v>
      </c>
      <c r="K113" s="224" t="s">
        <v>233</v>
      </c>
      <c r="L113" s="224" t="s">
        <v>234</v>
      </c>
      <c r="M113" s="224" t="s">
        <v>235</v>
      </c>
      <c r="N113" s="224" t="s">
        <v>236</v>
      </c>
      <c r="O113" s="224" t="s">
        <v>237</v>
      </c>
      <c r="P113" s="224" t="s">
        <v>238</v>
      </c>
      <c r="Q113" s="224" t="s">
        <v>239</v>
      </c>
      <c r="R113" s="224" t="s">
        <v>240</v>
      </c>
      <c r="S113" s="224" t="s">
        <v>241</v>
      </c>
      <c r="T113" s="224" t="s">
        <v>242</v>
      </c>
      <c r="U113" s="224" t="s">
        <v>237</v>
      </c>
      <c r="V113" s="224" t="s">
        <v>238</v>
      </c>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row>
    <row r="114" spans="1:54" ht="15" hidden="1">
      <c r="A114" s="222" t="str">
        <f>_xlfn.IFNA(IF(P2&gt;0,P2,IF(AND(O2&gt;0,ISNUMBER(INDEX(Crop_N_Per_Bushel,MATCH(L2,Crop_List_Full,0)))),O2*INDEX(Crop_N_Per_Bushel,MATCH(L2,Crop_List_Full,0)),INDEX(Crop_Annual_Nitrogen_lbs_per_ac,MATCH(L2,Crop_List_Full,0)))),"N/A")</f>
        <v>N/A</v>
      </c>
      <c r="B114" s="222" t="str">
        <f>_xlfn.IFNA(IF(Q2&gt;0,Q2,IF(AND(O2&gt;0,ISNUMBER(INDEX(Crop_P2O5_Per_Bushel,MATCH(L2,Crop_List_Full,0)))),O2*INDEX(Crop_P2O5_Per_Bushel,MATCH(L2,Crop_List_Full,0))*percent_p_in_p2o5,INDEX(Crop_Annual_Phosphorus_lbs_per_ac,MATCH(L2,Crop_List_Full,0)))),"N/A")</f>
        <v>N/A</v>
      </c>
      <c r="C114"/>
      <c r="D114"/>
      <c r="E114" s="389" t="s">
        <v>243</v>
      </c>
      <c r="F114" s="389"/>
      <c r="G114" s="223" t="s">
        <v>244</v>
      </c>
      <c r="H114" s="223" t="s">
        <v>245</v>
      </c>
      <c r="I114" s="223">
        <v>2003</v>
      </c>
      <c r="J114" s="185">
        <v>0.33</v>
      </c>
      <c r="K114" s="185">
        <v>0.24399999999999999</v>
      </c>
      <c r="L114" s="185">
        <v>0.19900000000000001</v>
      </c>
      <c r="M114" s="185">
        <v>2.1259999999999999</v>
      </c>
      <c r="N114" s="185">
        <v>1.75</v>
      </c>
      <c r="O114" s="185">
        <v>5.65</v>
      </c>
      <c r="P114" s="185">
        <v>2.63</v>
      </c>
      <c r="Q114" s="185">
        <v>4.05</v>
      </c>
      <c r="R114" s="185">
        <v>9.64</v>
      </c>
      <c r="S114" s="186">
        <v>90.46</v>
      </c>
      <c r="T114" s="187">
        <f>N114*0.7764*0.892179</f>
        <v>1.2122036073</v>
      </c>
      <c r="U114" s="187">
        <f>O114*0.2259*0.892179</f>
        <v>1.138719283965</v>
      </c>
      <c r="V114" s="187">
        <f>P114*0.892179</f>
        <v>2.34643077</v>
      </c>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row>
    <row r="115" spans="1:54" ht="15" hidden="1">
      <c r="A115" s="222" t="str">
        <f>_xlfn.IFNA(IF(P3&gt;0,P3,IF(AND(O3&gt;0,ISNUMBER(INDEX(Crop_N_Per_Bushel,MATCH(L3,Crop_List_Full,0)))),O3*INDEX(Crop_N_Per_Bushel,MATCH(L3,Crop_List_Full,0)),INDEX(Crop_Annual_Nitrogen_lbs_per_ac,MATCH(L3,Crop_List_Full,0)))),"N/A")</f>
        <v>N/A</v>
      </c>
      <c r="B115" s="222" t="str">
        <f>_xlfn.IFNA(IF(Q3&gt;0,Q3,IF(AND(O3&gt;0,ISNUMBER(INDEX(Crop_P2O5_Per_Bushel,MATCH(L3,Crop_List_Full,0)))),O3*INDEX(Crop_P2O5_Per_Bushel,MATCH(L3,Crop_List_Full,0))*percent_p_in_p2o5,INDEX(Crop_Annual_Phosphorus_lbs_per_ac,MATCH(L3,Crop_List_Full,0)))),"N/A")</f>
        <v>N/A</v>
      </c>
      <c r="C115"/>
      <c r="D115"/>
      <c r="E115" s="389" t="s">
        <v>243</v>
      </c>
      <c r="F115" s="389"/>
      <c r="G115" s="223" t="s">
        <v>244</v>
      </c>
      <c r="H115" s="223" t="s">
        <v>245</v>
      </c>
      <c r="I115" s="223">
        <v>2004</v>
      </c>
      <c r="J115" s="185">
        <v>0.59</v>
      </c>
      <c r="K115" s="185">
        <v>0.42199999999999999</v>
      </c>
      <c r="L115" s="185">
        <v>0.21099999999999999</v>
      </c>
      <c r="M115" s="185">
        <v>3.5880000000000001</v>
      </c>
      <c r="N115" s="185">
        <v>3.44</v>
      </c>
      <c r="O115" s="185">
        <v>9.6999999999999993</v>
      </c>
      <c r="P115" s="185">
        <v>4.87</v>
      </c>
      <c r="Q115" s="185">
        <v>6.73</v>
      </c>
      <c r="R115" s="185">
        <v>14.4</v>
      </c>
      <c r="S115" s="186">
        <v>111.07</v>
      </c>
      <c r="T115" s="187">
        <f t="shared" ref="T115:T119" si="28">N115*0.7764*0.892179</f>
        <v>2.3828459480639999</v>
      </c>
      <c r="U115" s="187">
        <f t="shared" ref="U115:U119" si="29">O115*0.2259*0.892179</f>
        <v>1.9549693901699998</v>
      </c>
      <c r="V115" s="187">
        <f t="shared" ref="V115:V119" si="30">P115*0.892179</f>
        <v>4.3449117300000006</v>
      </c>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row>
    <row r="116" spans="1:54" ht="15" hidden="1">
      <c r="A116" s="222" t="str">
        <f>_xlfn.IFNA(IF(P4&gt;0,P4,IF(AND(O4&gt;0,ISNUMBER(INDEX(Crop_N_Per_Bushel,MATCH(L4,Crop_List_Full,0)))),O4*INDEX(Crop_N_Per_Bushel,MATCH(L4,Crop_List_Full,0)),INDEX(Crop_Annual_Nitrogen_lbs_per_ac,MATCH(L4,Crop_List_Full,0)))),"N/A")</f>
        <v>N/A</v>
      </c>
      <c r="B116" s="222" t="str">
        <f>_xlfn.IFNA(IF(Q4&gt;0,Q4,IF(AND(O4&gt;0,ISNUMBER(INDEX(Crop_P2O5_Per_Bushel,MATCH(L4,Crop_List_Full,0)))),O4*INDEX(Crop_P2O5_Per_Bushel,MATCH(L4,Crop_List_Full,0))*percent_p_in_p2o5,INDEX(Crop_Annual_Phosphorus_lbs_per_ac,MATCH(L4,Crop_List_Full,0)))),"N/A")</f>
        <v>N/A</v>
      </c>
      <c r="C116"/>
      <c r="D116"/>
      <c r="E116" s="389" t="s">
        <v>243</v>
      </c>
      <c r="F116" s="389"/>
      <c r="G116" s="223" t="s">
        <v>244</v>
      </c>
      <c r="H116" s="223" t="s">
        <v>245</v>
      </c>
      <c r="I116" s="223">
        <v>2005</v>
      </c>
      <c r="J116" s="185">
        <v>0.79</v>
      </c>
      <c r="K116" s="185">
        <v>0.45300000000000001</v>
      </c>
      <c r="L116" s="185">
        <v>0.23400000000000001</v>
      </c>
      <c r="M116" s="185">
        <v>3.613</v>
      </c>
      <c r="N116" s="185">
        <v>4.3</v>
      </c>
      <c r="O116" s="185">
        <v>11.13</v>
      </c>
      <c r="P116" s="185">
        <v>5.86</v>
      </c>
      <c r="Q116" s="185">
        <v>6.8</v>
      </c>
      <c r="R116" s="185">
        <v>18.690000000000001</v>
      </c>
      <c r="S116" s="186">
        <v>146.27000000000001</v>
      </c>
      <c r="T116" s="187">
        <f t="shared" si="28"/>
        <v>2.9785574350799999</v>
      </c>
      <c r="U116" s="187">
        <f t="shared" si="29"/>
        <v>2.2431762177930006</v>
      </c>
      <c r="V116" s="187">
        <f t="shared" si="30"/>
        <v>5.2281689400000007</v>
      </c>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row>
    <row r="117" spans="1:54" hidden="1">
      <c r="A117"/>
      <c r="B117"/>
      <c r="C117"/>
      <c r="D117"/>
      <c r="E117" s="389" t="s">
        <v>243</v>
      </c>
      <c r="F117" s="389"/>
      <c r="G117" s="223" t="s">
        <v>244</v>
      </c>
      <c r="H117" s="223" t="s">
        <v>245</v>
      </c>
      <c r="I117" s="223">
        <v>2006</v>
      </c>
      <c r="J117" s="185">
        <v>0.83</v>
      </c>
      <c r="K117" s="185">
        <v>0.64600000000000002</v>
      </c>
      <c r="L117" s="185">
        <v>0.32900000000000001</v>
      </c>
      <c r="M117" s="185">
        <v>5.3319999999999999</v>
      </c>
      <c r="N117" s="185">
        <v>3.09</v>
      </c>
      <c r="O117" s="185">
        <v>8</v>
      </c>
      <c r="P117" s="185">
        <v>4.21</v>
      </c>
      <c r="Q117" s="185">
        <v>9.9</v>
      </c>
      <c r="R117" s="185">
        <v>14.77</v>
      </c>
      <c r="S117" s="186">
        <v>117.44</v>
      </c>
      <c r="T117" s="187">
        <f t="shared" si="28"/>
        <v>2.1404052266039999</v>
      </c>
      <c r="U117" s="187">
        <f t="shared" si="29"/>
        <v>1.6123458888</v>
      </c>
      <c r="V117" s="187">
        <f t="shared" si="30"/>
        <v>3.7560735900000002</v>
      </c>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row>
    <row r="118" spans="1:54" hidden="1">
      <c r="A118"/>
      <c r="B118"/>
      <c r="C118"/>
      <c r="D118"/>
      <c r="E118" s="389" t="s">
        <v>243</v>
      </c>
      <c r="F118" s="389"/>
      <c r="G118" s="223" t="s">
        <v>244</v>
      </c>
      <c r="H118" s="223" t="s">
        <v>245</v>
      </c>
      <c r="I118" s="223">
        <v>2007</v>
      </c>
      <c r="J118" s="185">
        <v>0.75</v>
      </c>
      <c r="K118" s="185">
        <v>0.317</v>
      </c>
      <c r="L118" s="185">
        <v>0.19</v>
      </c>
      <c r="M118" s="185">
        <v>2.335</v>
      </c>
      <c r="N118" s="185">
        <v>3.12</v>
      </c>
      <c r="O118" s="185">
        <v>8.36</v>
      </c>
      <c r="P118" s="185">
        <v>4.3099999999999996</v>
      </c>
      <c r="Q118" s="185">
        <v>4.5</v>
      </c>
      <c r="R118" s="185">
        <v>14.49</v>
      </c>
      <c r="S118" s="186">
        <v>79.17</v>
      </c>
      <c r="T118" s="187">
        <f t="shared" si="28"/>
        <v>2.1611858598720004</v>
      </c>
      <c r="U118" s="187">
        <f t="shared" si="29"/>
        <v>1.6849014537960001</v>
      </c>
      <c r="V118" s="187">
        <f t="shared" si="30"/>
        <v>3.8452914899999997</v>
      </c>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row>
    <row r="119" spans="1:54" hidden="1">
      <c r="A119"/>
      <c r="B119"/>
      <c r="C119"/>
      <c r="D119"/>
      <c r="E119" s="389" t="s">
        <v>243</v>
      </c>
      <c r="F119" s="389"/>
      <c r="G119" s="223" t="s">
        <v>244</v>
      </c>
      <c r="H119" s="223" t="s">
        <v>245</v>
      </c>
      <c r="I119" s="223">
        <v>2008</v>
      </c>
      <c r="J119" s="185">
        <v>0.8</v>
      </c>
      <c r="K119" s="185">
        <v>0.28299999999999997</v>
      </c>
      <c r="L119" s="185">
        <v>0.17100000000000001</v>
      </c>
      <c r="M119" s="185">
        <v>1.9370000000000001</v>
      </c>
      <c r="N119" s="185">
        <v>2.4</v>
      </c>
      <c r="O119" s="185">
        <v>5.78</v>
      </c>
      <c r="P119" s="185">
        <v>3.17</v>
      </c>
      <c r="Q119" s="185">
        <v>3.55</v>
      </c>
      <c r="R119" s="185">
        <v>9.25</v>
      </c>
      <c r="S119" s="186">
        <v>65.89</v>
      </c>
      <c r="T119" s="187">
        <f t="shared" si="28"/>
        <v>1.6624506614400001</v>
      </c>
      <c r="U119" s="187">
        <f t="shared" si="29"/>
        <v>1.1649199046580001</v>
      </c>
      <c r="V119" s="187">
        <f t="shared" si="30"/>
        <v>2.82820743</v>
      </c>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row>
    <row r="120" spans="1:54" hidden="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row>
    <row r="121" spans="1:54" hidden="1">
      <c r="A121"/>
      <c r="B121"/>
      <c r="C121"/>
      <c r="D121"/>
      <c r="E121" t="s">
        <v>246</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row>
    <row r="122" spans="1:54" hidden="1">
      <c r="A122"/>
      <c r="B122"/>
      <c r="C122"/>
      <c r="D122"/>
      <c r="E122" t="s">
        <v>247</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row>
    <row r="123" spans="1:54" hidden="1">
      <c r="A123"/>
      <c r="B123"/>
      <c r="C123"/>
      <c r="D123"/>
      <c r="E123"/>
      <c r="F123"/>
      <c r="G123"/>
      <c r="H123"/>
      <c r="I123"/>
      <c r="J123"/>
      <c r="K123"/>
      <c r="L123"/>
      <c r="M123"/>
      <c r="N123"/>
      <c r="O123"/>
      <c r="P123"/>
      <c r="Q123"/>
      <c r="R123"/>
      <c r="S123"/>
      <c r="T123"/>
      <c r="U123"/>
      <c r="V123"/>
      <c r="W123"/>
      <c r="X123"/>
      <c r="Y123"/>
      <c r="Z123"/>
      <c r="AA123" s="184"/>
      <c r="AB123" s="184"/>
      <c r="AC123"/>
      <c r="AD123"/>
      <c r="AE123"/>
      <c r="AF123"/>
      <c r="AG123"/>
      <c r="AH123"/>
      <c r="AI123"/>
      <c r="AJ123"/>
      <c r="AK123"/>
      <c r="AL123"/>
      <c r="AM123"/>
      <c r="AN123"/>
      <c r="AO123"/>
      <c r="AP123"/>
      <c r="AQ123"/>
      <c r="AR123"/>
      <c r="AS123"/>
      <c r="AT123"/>
      <c r="AU123"/>
      <c r="AV123"/>
      <c r="AW123"/>
      <c r="AX123"/>
      <c r="AY123"/>
      <c r="AZ123"/>
      <c r="BA123"/>
      <c r="BB123"/>
    </row>
    <row r="124" spans="1:54" hidden="1">
      <c r="A124"/>
      <c r="B124"/>
      <c r="C124"/>
      <c r="D124"/>
      <c r="E124" t="s">
        <v>248</v>
      </c>
      <c r="F124"/>
      <c r="G124"/>
      <c r="H124"/>
      <c r="I124"/>
      <c r="J124"/>
      <c r="K124"/>
      <c r="L124"/>
      <c r="M124"/>
      <c r="N124"/>
      <c r="O124"/>
      <c r="P124"/>
      <c r="Q124"/>
      <c r="R124"/>
      <c r="S124"/>
      <c r="T124"/>
      <c r="U124"/>
      <c r="V124"/>
      <c r="W124"/>
      <c r="X124"/>
      <c r="Y124" s="184"/>
      <c r="Z124" s="184"/>
      <c r="AA124"/>
      <c r="AB124"/>
      <c r="AC124" s="184"/>
      <c r="AD124" s="184"/>
      <c r="AE124" s="184"/>
      <c r="AF124" s="184"/>
      <c r="AG124" s="184"/>
      <c r="AH124"/>
      <c r="AI124"/>
      <c r="AJ124"/>
      <c r="AK124"/>
      <c r="AL124"/>
      <c r="AM124"/>
      <c r="AN124"/>
      <c r="AO124"/>
      <c r="AP124"/>
      <c r="AQ124"/>
      <c r="AR124"/>
      <c r="AS124"/>
      <c r="AT124"/>
      <c r="AU124"/>
      <c r="AV124"/>
      <c r="AW124"/>
      <c r="AX124"/>
      <c r="AY124"/>
      <c r="AZ124"/>
      <c r="BA124"/>
      <c r="BB124"/>
    </row>
    <row r="125" spans="1:54" ht="15.75" hidden="1">
      <c r="A125"/>
      <c r="B125"/>
      <c r="C125"/>
      <c r="D125"/>
      <c r="E125" t="s">
        <v>249</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row>
    <row r="126" spans="1:54" hidden="1">
      <c r="A126"/>
      <c r="B126"/>
      <c r="C126"/>
      <c r="D126"/>
      <c r="E126" t="s">
        <v>250</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row>
    <row r="127" spans="1:54" ht="15.75" hidden="1">
      <c r="A127"/>
      <c r="B127"/>
      <c r="C127"/>
      <c r="D127"/>
      <c r="E127" t="s">
        <v>251</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row>
    <row r="128" spans="1:54" ht="15.75" hidden="1">
      <c r="A128"/>
      <c r="B128"/>
      <c r="C128"/>
      <c r="D128"/>
      <c r="E128" t="s">
        <v>252</v>
      </c>
      <c r="F128"/>
      <c r="G128"/>
      <c r="H128"/>
      <c r="I128"/>
      <c r="J128"/>
      <c r="K128"/>
      <c r="L128"/>
      <c r="M128"/>
      <c r="N128"/>
      <c r="O128"/>
      <c r="P128" s="142"/>
      <c r="Q128" s="142"/>
      <c r="R128" s="142"/>
      <c r="S128" s="142"/>
      <c r="T128" s="142"/>
      <c r="U128" s="142"/>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row>
    <row r="129" spans="1:54" hidden="1">
      <c r="A129"/>
      <c r="B129"/>
      <c r="C129"/>
      <c r="D129"/>
      <c r="E129" t="s">
        <v>253</v>
      </c>
      <c r="F129"/>
      <c r="G129"/>
      <c r="H129"/>
      <c r="I129"/>
      <c r="J129"/>
      <c r="K129"/>
      <c r="L129"/>
      <c r="M129"/>
      <c r="N129"/>
      <c r="O129"/>
      <c r="P129" s="142"/>
      <c r="Q129" s="142"/>
      <c r="R129" s="142"/>
      <c r="S129" s="142"/>
      <c r="T129" s="142"/>
      <c r="U129" s="142"/>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row>
    <row r="130" spans="1:54" hidden="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row>
    <row r="131" spans="1:54" hidden="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row>
    <row r="132" spans="1:54" hidden="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row>
    <row r="133" spans="1:54" hidden="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row>
    <row r="134" spans="1:54" hidden="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row>
    <row r="135" spans="1:54" hidden="1">
      <c r="A135" t="s">
        <v>304</v>
      </c>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row>
    <row r="136" spans="1:54" hidden="1">
      <c r="A136" s="83" t="s">
        <v>300</v>
      </c>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row>
    <row r="137" spans="1:54" hidden="1">
      <c r="A137" s="83" t="s">
        <v>301</v>
      </c>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row>
    <row r="138" spans="1:54" hidden="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row>
    <row r="139" spans="1:54" hidden="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row>
    <row r="140" spans="1:54" hidden="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row>
    <row r="141" spans="1:54" ht="33.7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row>
    <row r="142" spans="1:54">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row>
    <row r="143" spans="1:54">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row>
    <row r="144" spans="1:54">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row>
    <row r="145" spans="1:54">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row>
    <row r="146" spans="1:54">
      <c r="A146"/>
      <c r="B146"/>
      <c r="C146"/>
      <c r="D146"/>
      <c r="E146"/>
      <c r="F146"/>
      <c r="G146"/>
      <c r="H146"/>
      <c r="I146"/>
      <c r="J146"/>
      <c r="K146"/>
      <c r="L146"/>
      <c r="M146"/>
      <c r="N146"/>
      <c r="O146"/>
      <c r="P146"/>
      <c r="Q146"/>
      <c r="R146"/>
      <c r="S146"/>
      <c r="T146"/>
      <c r="U146"/>
      <c r="V146"/>
      <c r="W146"/>
      <c r="X146"/>
      <c r="Y146"/>
      <c r="Z146"/>
      <c r="AA146" s="142"/>
      <c r="AB146"/>
      <c r="AC146"/>
      <c r="AD146"/>
      <c r="AE146"/>
      <c r="AF146"/>
      <c r="AG146"/>
      <c r="AH146"/>
      <c r="AI146"/>
      <c r="AJ146"/>
      <c r="AK146"/>
      <c r="AL146"/>
      <c r="AM146"/>
      <c r="AN146"/>
      <c r="AO146"/>
      <c r="AP146"/>
      <c r="AQ146"/>
      <c r="AR146"/>
      <c r="AS146"/>
      <c r="AT146"/>
      <c r="AU146"/>
      <c r="AV146"/>
      <c r="AW146"/>
      <c r="AX146"/>
      <c r="AY146"/>
      <c r="AZ146"/>
      <c r="BA146"/>
      <c r="BB146"/>
    </row>
  </sheetData>
  <sheetProtection algorithmName="SHA-512" hashValue="oOxVMMZkmJuhFeLMPP4T6VO46hMN8ZDlGqeczij7DCcFhJre7uuSfjlORFxeHhKcXL52gIeqYqwNJabi7aQuEw==" saltValue="H5n2b3VbflPKssKMfDCAHw==" spinCount="100000" sheet="1" selectLockedCells="1"/>
  <mergeCells count="43">
    <mergeCell ref="L2:M2"/>
    <mergeCell ref="L3:M3"/>
    <mergeCell ref="L4:M4"/>
    <mergeCell ref="E4:F4"/>
    <mergeCell ref="B2:F2"/>
    <mergeCell ref="A57:B57"/>
    <mergeCell ref="E57:AD57"/>
    <mergeCell ref="AE57:BB57"/>
    <mergeCell ref="F59:Q59"/>
    <mergeCell ref="R59:AD59"/>
    <mergeCell ref="AE59:AP59"/>
    <mergeCell ref="AQ59:BB59"/>
    <mergeCell ref="H77:I77"/>
    <mergeCell ref="H78:I78"/>
    <mergeCell ref="H79:I79"/>
    <mergeCell ref="L74:W74"/>
    <mergeCell ref="E75:F75"/>
    <mergeCell ref="H75:I75"/>
    <mergeCell ref="H76:I76"/>
    <mergeCell ref="H83:I83"/>
    <mergeCell ref="H84:I84"/>
    <mergeCell ref="H87:I87"/>
    <mergeCell ref="H80:I80"/>
    <mergeCell ref="H81:I81"/>
    <mergeCell ref="H82:I82"/>
    <mergeCell ref="A89:C90"/>
    <mergeCell ref="A91:C91"/>
    <mergeCell ref="A92:C92"/>
    <mergeCell ref="E93:V96"/>
    <mergeCell ref="E98:V101"/>
    <mergeCell ref="E102:V103"/>
    <mergeCell ref="E109:V109"/>
    <mergeCell ref="E110:V110"/>
    <mergeCell ref="E111:V111"/>
    <mergeCell ref="J112:R112"/>
    <mergeCell ref="T112:V112"/>
    <mergeCell ref="E118:F118"/>
    <mergeCell ref="E119:F119"/>
    <mergeCell ref="E113:F113"/>
    <mergeCell ref="E114:F114"/>
    <mergeCell ref="E115:F115"/>
    <mergeCell ref="E116:F116"/>
    <mergeCell ref="E117:F117"/>
  </mergeCells>
  <conditionalFormatting sqref="C17:P17">
    <cfRule type="cellIs" dxfId="1" priority="2" operator="greaterThan">
      <formula>10</formula>
    </cfRule>
  </conditionalFormatting>
  <conditionalFormatting sqref="P17">
    <cfRule type="cellIs" dxfId="0" priority="1" operator="greaterThan">
      <formula>10</formula>
    </cfRule>
  </conditionalFormatting>
  <dataValidations count="2">
    <dataValidation type="list" allowBlank="1" showInputMessage="1" showErrorMessage="1" sqref="L2:L4 C7:N7">
      <formula1>Crop_List_Full</formula1>
    </dataValidation>
    <dataValidation type="list" allowBlank="1" showInputMessage="1" showErrorMessage="1" sqref="E4">
      <formula1>Weather_Stations_List</formula1>
    </dataValidation>
  </dataValidations>
  <pageMargins left="0.7" right="0.7" top="0.75" bottom="0.75" header="0.3" footer="0.3"/>
  <pageSetup scale="52" orientation="landscape"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
  <sheetViews>
    <sheetView workbookViewId="0">
      <selection activeCell="G21" sqref="G21"/>
    </sheetView>
  </sheetViews>
  <sheetFormatPr defaultRowHeight="12.75"/>
  <sheetData>
    <row r="1" spans="1:13" ht="18">
      <c r="A1" s="145" t="s">
        <v>92</v>
      </c>
    </row>
    <row r="3" spans="1:13" ht="46.5" customHeight="1">
      <c r="A3" s="386" t="s">
        <v>142</v>
      </c>
      <c r="B3" s="386"/>
      <c r="C3" s="386"/>
      <c r="D3" s="386"/>
      <c r="E3" s="386"/>
      <c r="F3" s="386"/>
      <c r="G3" s="386"/>
      <c r="H3" s="386"/>
      <c r="I3" s="386"/>
      <c r="J3" s="386"/>
    </row>
    <row r="4" spans="1:13" ht="15.75">
      <c r="A4" s="65"/>
    </row>
    <row r="6" spans="1:13" ht="29.25" customHeight="1">
      <c r="B6" s="142"/>
      <c r="C6" s="386" t="s">
        <v>101</v>
      </c>
      <c r="D6" s="386"/>
      <c r="E6" s="386"/>
      <c r="F6" s="386"/>
      <c r="G6" s="386"/>
      <c r="H6" s="386"/>
      <c r="I6" s="386"/>
      <c r="J6" s="386"/>
      <c r="K6" s="66"/>
      <c r="L6" s="66"/>
    </row>
    <row r="7" spans="1:13">
      <c r="B7" s="142"/>
    </row>
    <row r="8" spans="1:13" ht="28.5" customHeight="1">
      <c r="B8" s="142"/>
      <c r="C8" s="386" t="s">
        <v>143</v>
      </c>
      <c r="D8" s="386"/>
      <c r="E8" s="386"/>
      <c r="F8" s="386"/>
      <c r="G8" s="386"/>
      <c r="H8" s="386"/>
      <c r="I8" s="386"/>
      <c r="J8" s="386"/>
      <c r="K8" s="66"/>
      <c r="L8" s="66"/>
    </row>
    <row r="9" spans="1:13">
      <c r="B9" s="142"/>
    </row>
    <row r="11" spans="1:13" ht="15">
      <c r="B11" s="138" t="s">
        <v>102</v>
      </c>
    </row>
    <row r="13" spans="1:13" ht="147" customHeight="1">
      <c r="B13" s="415"/>
      <c r="C13" s="415"/>
      <c r="D13" s="415"/>
      <c r="E13" s="415"/>
      <c r="F13" s="415"/>
      <c r="G13" s="415"/>
      <c r="H13" s="415"/>
      <c r="I13" s="415"/>
      <c r="J13" s="415"/>
      <c r="K13" s="67"/>
      <c r="L13" s="67"/>
      <c r="M13" s="67"/>
    </row>
  </sheetData>
  <mergeCells count="4">
    <mergeCell ref="A3:J3"/>
    <mergeCell ref="C6:J6"/>
    <mergeCell ref="C8:J8"/>
    <mergeCell ref="B13:J13"/>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1</xdr:col>
                    <xdr:colOff>180975</xdr:colOff>
                    <xdr:row>5</xdr:row>
                    <xdr:rowOff>76200</xdr:rowOff>
                  </from>
                  <to>
                    <xdr:col>1</xdr:col>
                    <xdr:colOff>485775</xdr:colOff>
                    <xdr:row>5</xdr:row>
                    <xdr:rowOff>295275</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1</xdr:col>
                    <xdr:colOff>180975</xdr:colOff>
                    <xdr:row>7</xdr:row>
                    <xdr:rowOff>76200</xdr:rowOff>
                  </from>
                  <to>
                    <xdr:col>1</xdr:col>
                    <xdr:colOff>485775</xdr:colOff>
                    <xdr:row>7</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workbookViewId="0">
      <selection activeCell="S17" sqref="S17"/>
    </sheetView>
  </sheetViews>
  <sheetFormatPr defaultRowHeight="12.75"/>
  <cols>
    <col min="1" max="1" width="9.140625" style="72"/>
    <col min="2" max="16384" width="9.140625" style="69"/>
  </cols>
  <sheetData>
    <row r="1" spans="1:8" ht="18">
      <c r="A1" s="146" t="s">
        <v>93</v>
      </c>
    </row>
    <row r="2" spans="1:8" ht="18.75">
      <c r="A2" s="70"/>
    </row>
    <row r="3" spans="1:8" ht="17.25">
      <c r="A3" s="119" t="s">
        <v>146</v>
      </c>
      <c r="B3" s="71"/>
      <c r="C3" s="74"/>
      <c r="D3" s="74"/>
      <c r="E3" s="74"/>
      <c r="F3" s="74"/>
      <c r="G3" s="75"/>
      <c r="H3" s="74"/>
    </row>
    <row r="4" spans="1:8" ht="17.25">
      <c r="A4" s="119" t="s">
        <v>147</v>
      </c>
      <c r="B4" s="71"/>
      <c r="C4" s="74"/>
      <c r="D4" s="74"/>
      <c r="E4" s="74"/>
      <c r="F4" s="74"/>
      <c r="G4" s="76"/>
      <c r="H4" s="74"/>
    </row>
    <row r="5" spans="1:8" ht="15.75">
      <c r="A5" s="74"/>
      <c r="B5" s="71"/>
      <c r="C5" s="74"/>
      <c r="D5" s="74"/>
      <c r="E5" s="74"/>
      <c r="F5" s="74"/>
      <c r="G5" s="77"/>
      <c r="H5" s="74"/>
    </row>
    <row r="6" spans="1:8" ht="15.75">
      <c r="A6" s="118" t="s">
        <v>107</v>
      </c>
      <c r="B6" s="74"/>
      <c r="C6" s="75"/>
      <c r="D6" s="117" t="s">
        <v>108</v>
      </c>
      <c r="E6" s="74"/>
      <c r="F6" s="71"/>
      <c r="G6" s="74"/>
      <c r="H6" s="74"/>
    </row>
    <row r="7" spans="1:8" ht="15.75">
      <c r="A7" s="118"/>
      <c r="B7" s="74"/>
      <c r="C7" s="141"/>
      <c r="D7" s="117"/>
      <c r="E7" s="74"/>
      <c r="F7" s="71"/>
      <c r="G7" s="74"/>
      <c r="H7" s="74"/>
    </row>
    <row r="8" spans="1:8" ht="15.75">
      <c r="A8" s="73"/>
      <c r="B8" s="120" t="s">
        <v>104</v>
      </c>
      <c r="C8" s="417"/>
      <c r="D8" s="418"/>
      <c r="E8" s="74"/>
      <c r="F8" s="74"/>
      <c r="G8" s="74"/>
      <c r="H8" s="74"/>
    </row>
    <row r="9" spans="1:8" ht="15.75">
      <c r="A9" s="73"/>
      <c r="B9" s="120"/>
      <c r="C9" s="139"/>
      <c r="D9" s="140"/>
      <c r="E9" s="74"/>
      <c r="F9" s="74"/>
      <c r="G9" s="74"/>
      <c r="H9" s="74"/>
    </row>
    <row r="10" spans="1:8" ht="15" customHeight="1">
      <c r="A10" s="73"/>
      <c r="B10" s="117" t="s">
        <v>105</v>
      </c>
      <c r="C10" s="417"/>
      <c r="D10" s="418"/>
      <c r="E10" s="74"/>
      <c r="F10" s="74"/>
      <c r="G10" s="74"/>
      <c r="H10" s="74"/>
    </row>
    <row r="11" spans="1:8" ht="15" customHeight="1">
      <c r="A11" s="73"/>
      <c r="B11" s="117"/>
      <c r="C11" s="139"/>
      <c r="D11" s="140"/>
      <c r="E11" s="74"/>
      <c r="F11" s="74"/>
      <c r="G11" s="74"/>
      <c r="H11" s="74"/>
    </row>
    <row r="12" spans="1:8" s="124" customFormat="1" ht="15.75">
      <c r="A12" s="122"/>
      <c r="B12" s="123" t="s">
        <v>106</v>
      </c>
      <c r="C12" s="71"/>
      <c r="D12" s="419"/>
      <c r="E12" s="419"/>
      <c r="F12" s="419"/>
      <c r="G12" s="71"/>
      <c r="H12" s="71"/>
    </row>
    <row r="13" spans="1:8" s="124" customFormat="1" ht="15.75">
      <c r="A13" s="122"/>
      <c r="B13" s="123"/>
      <c r="C13" s="71"/>
      <c r="D13" s="125"/>
      <c r="E13" s="125"/>
      <c r="F13" s="125"/>
      <c r="G13" s="71"/>
      <c r="H13" s="71"/>
    </row>
    <row r="14" spans="1:8" ht="15.75">
      <c r="A14" s="73"/>
      <c r="B14" s="121" t="s">
        <v>144</v>
      </c>
      <c r="C14" s="74"/>
      <c r="D14" s="74"/>
      <c r="E14" s="74"/>
      <c r="F14" s="74"/>
      <c r="G14" s="74"/>
      <c r="H14" s="74"/>
    </row>
    <row r="15" spans="1:8" ht="15.75">
      <c r="A15" s="73"/>
      <c r="B15" s="73"/>
      <c r="C15" s="74"/>
      <c r="D15" s="74"/>
      <c r="E15" s="74"/>
      <c r="F15" s="74"/>
      <c r="G15" s="74"/>
      <c r="H15" s="74"/>
    </row>
    <row r="16" spans="1:8" ht="15.75">
      <c r="A16" s="118" t="s">
        <v>158</v>
      </c>
      <c r="B16" s="74"/>
      <c r="C16" s="74"/>
      <c r="D16" s="74"/>
      <c r="E16" s="74"/>
      <c r="F16" s="74"/>
      <c r="G16" s="74"/>
      <c r="H16" s="74"/>
    </row>
    <row r="17" spans="1:8" ht="15.75">
      <c r="A17" s="73"/>
      <c r="B17" s="74"/>
      <c r="C17" s="74"/>
      <c r="D17" s="74"/>
      <c r="E17" s="74"/>
      <c r="F17" s="74"/>
      <c r="G17" s="74"/>
      <c r="H17" s="74"/>
    </row>
    <row r="18" spans="1:8" ht="15.75">
      <c r="A18" s="73"/>
      <c r="B18" s="77"/>
      <c r="C18" s="117" t="s">
        <v>103</v>
      </c>
      <c r="D18" s="74"/>
      <c r="E18" s="74"/>
      <c r="F18" s="74"/>
      <c r="G18" s="74"/>
      <c r="H18" s="74"/>
    </row>
    <row r="19" spans="1:8" ht="15.75">
      <c r="A19" s="73"/>
      <c r="B19" s="74"/>
      <c r="C19" s="74"/>
      <c r="D19" s="74"/>
      <c r="E19" s="74"/>
      <c r="F19" s="74"/>
      <c r="G19" s="74"/>
      <c r="H19" s="74"/>
    </row>
    <row r="20" spans="1:8" ht="151.5" customHeight="1">
      <c r="A20" s="73"/>
      <c r="B20" s="416"/>
      <c r="C20" s="416"/>
      <c r="D20" s="416"/>
      <c r="E20" s="416"/>
      <c r="F20" s="416"/>
      <c r="G20" s="416"/>
      <c r="H20" s="416"/>
    </row>
    <row r="23" spans="1:8">
      <c r="A23" s="117" t="s">
        <v>94</v>
      </c>
    </row>
    <row r="24" spans="1:8">
      <c r="A24" s="117" t="s">
        <v>95</v>
      </c>
    </row>
    <row r="26" spans="1:8">
      <c r="A26" s="117" t="s">
        <v>145</v>
      </c>
    </row>
  </sheetData>
  <mergeCells count="4">
    <mergeCell ref="B20:H20"/>
    <mergeCell ref="C8:D8"/>
    <mergeCell ref="C10:D10"/>
    <mergeCell ref="D12:F12"/>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200025</xdr:colOff>
                    <xdr:row>16</xdr:row>
                    <xdr:rowOff>152400</xdr:rowOff>
                  </from>
                  <to>
                    <xdr:col>1</xdr:col>
                    <xdr:colOff>485775</xdr:colOff>
                    <xdr:row>18</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S17" sqref="S17"/>
    </sheetView>
  </sheetViews>
  <sheetFormatPr defaultRowHeight="12.75"/>
  <cols>
    <col min="1" max="1" width="87.42578125" style="68" customWidth="1"/>
  </cols>
  <sheetData>
    <row r="1" spans="1:1" ht="18">
      <c r="A1" s="144" t="s">
        <v>96</v>
      </c>
    </row>
    <row r="2" spans="1:1" ht="15">
      <c r="A2" s="78"/>
    </row>
    <row r="3" spans="1:1" ht="45">
      <c r="A3" s="126" t="s">
        <v>148</v>
      </c>
    </row>
    <row r="4" spans="1:1">
      <c r="A4" s="79"/>
    </row>
    <row r="5" spans="1:1" ht="28.5">
      <c r="A5" s="127" t="s">
        <v>97</v>
      </c>
    </row>
    <row r="6" spans="1:1" ht="15.75">
      <c r="A6" s="80"/>
    </row>
    <row r="7" spans="1:1" ht="15.75">
      <c r="A7" s="80"/>
    </row>
  </sheetData>
  <hyperlinks>
    <hyperlink ref="A5" r:id="rId1" display="https://www.plants.usda.gov/npk/main"/>
  </hyperlinks>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AAF078692C45458F2F1CAA2C30E5F7" ma:contentTypeVersion="1" ma:contentTypeDescription="Create a new document." ma:contentTypeScope="" ma:versionID="7a0235bb202253fc5e4b7d22956efd9a">
  <xsd:schema xmlns:xsd="http://www.w3.org/2001/XMLSchema" xmlns:xs="http://www.w3.org/2001/XMLSchema" xmlns:p="http://schemas.microsoft.com/office/2006/metadata/properties" xmlns:ns1="http://schemas.microsoft.com/sharepoint/v3" targetNamespace="http://schemas.microsoft.com/office/2006/metadata/properties" ma:root="true" ma:fieldsID="747af003a9dcc1cb4cd3fe1b7b5496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F61CCC-51A8-4ABE-AE2B-72A5331E03E9}"/>
</file>

<file path=customXml/itemProps2.xml><?xml version="1.0" encoding="utf-8"?>
<ds:datastoreItem xmlns:ds="http://schemas.openxmlformats.org/officeDocument/2006/customXml" ds:itemID="{5983B249-5C72-47E2-9A5B-A367C5D174FC}"/>
</file>

<file path=customXml/itemProps3.xml><?xml version="1.0" encoding="utf-8"?>
<ds:datastoreItem xmlns:ds="http://schemas.openxmlformats.org/officeDocument/2006/customXml" ds:itemID="{9F3D8B8D-57B9-46F7-A82E-69963DF3E9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45</vt:i4>
      </vt:variant>
    </vt:vector>
  </HeadingPairs>
  <TitlesOfParts>
    <vt:vector size="52" baseType="lpstr">
      <vt:lpstr>Certification</vt:lpstr>
      <vt:lpstr>Requirements</vt:lpstr>
      <vt:lpstr>Wrksht 1</vt:lpstr>
      <vt:lpstr>Wrksht 2</vt:lpstr>
      <vt:lpstr>Nitrogen Balance</vt:lpstr>
      <vt:lpstr>Wrksht 3</vt:lpstr>
      <vt:lpstr>References</vt:lpstr>
      <vt:lpstr>Requirements!_ftn1</vt:lpstr>
      <vt:lpstr>'Wrksht 3'!_ftn2</vt:lpstr>
      <vt:lpstr>Requirements!_ftnref1</vt:lpstr>
      <vt:lpstr>'Wrksht 3'!_ftnref2</vt:lpstr>
      <vt:lpstr>acre_to_sqft</vt:lpstr>
      <vt:lpstr>annual_nitrogen_precipitation_lb_per_acre_year</vt:lpstr>
      <vt:lpstr>assumed_ammonia_volatilization_percent</vt:lpstr>
      <vt:lpstr>cf_to_gal</vt:lpstr>
      <vt:lpstr>cfs_to_gpm</vt:lpstr>
      <vt:lpstr>Crop_Annual_Nitrogen_lbs_per_ac</vt:lpstr>
      <vt:lpstr>Crop_Annual_Phosphorus_lbs_per_ac</vt:lpstr>
      <vt:lpstr>Crop_Denitrification_Percent</vt:lpstr>
      <vt:lpstr>Crop_Fixation_Percent</vt:lpstr>
      <vt:lpstr>Crop_List_Abbr</vt:lpstr>
      <vt:lpstr>Crop_List_Full</vt:lpstr>
      <vt:lpstr>Crop_Monthly_Nitrogen_Uptake_Percent</vt:lpstr>
      <vt:lpstr>Crop_N_Per_Bushel</vt:lpstr>
      <vt:lpstr>Crop_P2O5_Per_Bushel</vt:lpstr>
      <vt:lpstr>Crop_Yield</vt:lpstr>
      <vt:lpstr>Days_In_Month</vt:lpstr>
      <vt:lpstr>Effluent_Ammonia_Conc</vt:lpstr>
      <vt:lpstr>Effluent_N_Conc</vt:lpstr>
      <vt:lpstr>Effluent_P_Conc</vt:lpstr>
      <vt:lpstr>ft_to_in</vt:lpstr>
      <vt:lpstr>gal_to_acre_in</vt:lpstr>
      <vt:lpstr>gpm_to_gpd</vt:lpstr>
      <vt:lpstr>lbs_per_gal_to_mg_per_L</vt:lpstr>
      <vt:lpstr>MG_to_acre_in</vt:lpstr>
      <vt:lpstr>Month_List</vt:lpstr>
      <vt:lpstr>Month_List_Abbr</vt:lpstr>
      <vt:lpstr>Monthly_N_Precip</vt:lpstr>
      <vt:lpstr>Monthly_Total_Precipitation_in</vt:lpstr>
      <vt:lpstr>'Wrksht 2'!nearest_weather_station</vt:lpstr>
      <vt:lpstr>Normal_Temperatures_F</vt:lpstr>
      <vt:lpstr>percent_p_in_p2o5</vt:lpstr>
      <vt:lpstr>Pot_Evapotrans_in</vt:lpstr>
      <vt:lpstr>Pot_Evapotrans_Tot_in</vt:lpstr>
      <vt:lpstr>Precip_5_Year_in</vt:lpstr>
      <vt:lpstr>Precip_in</vt:lpstr>
      <vt:lpstr>Certification!Print_Area</vt:lpstr>
      <vt:lpstr>'Wrksht 2'!Print_Area</vt:lpstr>
      <vt:lpstr>Certification!Print_Titles</vt:lpstr>
      <vt:lpstr>Weather_Stations_List</vt:lpstr>
      <vt:lpstr>week_to_day</vt:lpstr>
      <vt:lpstr>'Wrksht 2'!wetted_acres</vt:lpstr>
    </vt:vector>
  </TitlesOfParts>
  <Company>DNREC, State of Delaware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yyy</dc:creator>
  <cp:lastModifiedBy>Marlene M. Baust (DNREC)</cp:lastModifiedBy>
  <cp:lastPrinted>2018-06-14T14:04:01Z</cp:lastPrinted>
  <dcterms:created xsi:type="dcterms:W3CDTF">2011-06-08T19:17:50Z</dcterms:created>
  <dcterms:modified xsi:type="dcterms:W3CDTF">2018-11-13T19:55:36Z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0x01010071AAF078692C45458F2F1CAA2C30E5F7</vt:lpwstr>
  </property>
</Properties>
</file>